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GnBE8tFWIMUkUV7OxRynmJ74t7QWS80jj5WTJfIgt76yXQg4LmyJ/KEMUijaec8H5uY+dvE4fX7TkY44bd8/A==" workbookSpinCount="100000" workbookSaltValue="Re79fzzVoGi0eVwixitrbA==" lockStructure="1"/>
  <bookViews>
    <workbookView xWindow="65416" yWindow="65416" windowWidth="29040" windowHeight="15840" activeTab="0"/>
  </bookViews>
  <sheets>
    <sheet name="Mon Entreprise" sheetId="1" r:id="rId1"/>
    <sheet name="Mes Aides" sheetId="3" r:id="rId2"/>
    <sheet name="Explication des Calculs" sheetId="4" r:id="rId3"/>
    <sheet name="Annexes" sheetId="2" state="hidden"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<sst xmlns="http://schemas.openxmlformats.org/spreadsheetml/2006/main" count="519" uniqueCount="248">
  <si>
    <t>Annexe 1 :</t>
  </si>
  <si>
    <t>Téléphériques et remontées mécaniques</t>
  </si>
  <si>
    <t>Hôtels et hébergement similaire</t>
  </si>
  <si>
    <t>Hébergement touristique et autre hébergement de courte durée</t>
  </si>
  <si>
    <t>Terrains de camping et parcs pour caravanes ou véhicules de loisirs</t>
  </si>
  <si>
    <t>Restauration traditionnelle</t>
  </si>
  <si>
    <t>Cafétérias et autres libres-services</t>
  </si>
  <si>
    <t>Restauration de type rapide</t>
  </si>
  <si>
    <t>Services de restauration collective sous contrat, de cantines et restaurants d'entreprise</t>
  </si>
  <si>
    <t>Services des traiteurs</t>
  </si>
  <si>
    <t>Débits de boissons</t>
  </si>
  <si>
    <t>Projection de films cinématographiques et autres industries techniques du cinéma et de l'image animée</t>
  </si>
  <si>
    <t>Post-production de films cinématographiques, de vidéo et de programmes de télévision</t>
  </si>
  <si>
    <t>Distribution de films cinématographiques</t>
  </si>
  <si>
    <t>Location et location-bail d'articles de loisirs et de sport</t>
  </si>
  <si>
    <t>Activités des agences de voyage</t>
  </si>
  <si>
    <t>Activités des voyagistes</t>
  </si>
  <si>
    <t>Autres services de réservation et activités connexes</t>
  </si>
  <si>
    <t>Organisation de foires, évènements publics ou privés, salons ou séminaires professionnels, congrès</t>
  </si>
  <si>
    <t>Agences de mannequins</t>
  </si>
  <si>
    <t>Entreprises de détaxe et bureaux de change (changeurs manuels)</t>
  </si>
  <si>
    <t>Enseignement de disciplines sportives et d'activités de loisirs</t>
  </si>
  <si>
    <t>Arts du spectacle vivant</t>
  </si>
  <si>
    <t>Activités de soutien au spectacle vivant</t>
  </si>
  <si>
    <t>Création artistique relevant des arts plastiques</t>
  </si>
  <si>
    <t>Galeries d'art</t>
  </si>
  <si>
    <t>Artistes auteurs</t>
  </si>
  <si>
    <t>Gestion de salles de spectacles et production de spectacles</t>
  </si>
  <si>
    <t>Gestion des musées</t>
  </si>
  <si>
    <t>Guides conférenciers</t>
  </si>
  <si>
    <t>Gestion des sites et monuments historiques et des attractions touristiques similaires</t>
  </si>
  <si>
    <t>Gestion des jardins botaniques et zoologiques et des réserves naturelles</t>
  </si>
  <si>
    <t>Gestion d'installations sportives</t>
  </si>
  <si>
    <t>Activités de clubs de sports</t>
  </si>
  <si>
    <t>Activité des centres de culture physique</t>
  </si>
  <si>
    <t>Autres activités liées au sport</t>
  </si>
  <si>
    <t>Autres activités récréatives et de loisirs</t>
  </si>
  <si>
    <t>Exploitations de casinos</t>
  </si>
  <si>
    <t>Entretien corporel</t>
  </si>
  <si>
    <t>Trains et chemins de fer touristiques</t>
  </si>
  <si>
    <t>Transport transmanche</t>
  </si>
  <si>
    <t>Transport aérien de passagers</t>
  </si>
  <si>
    <t>Transport de passagers sur les fleuves, les canaux, les lacs, location de bateaux de plaisance</t>
  </si>
  <si>
    <t>Transport maritime et côtier de passagers</t>
  </si>
  <si>
    <t>Production de films et de programmes pour la télévision</t>
  </si>
  <si>
    <t>Production de films institutionnels et publicitaires</t>
  </si>
  <si>
    <t>Production de films pour le cinéma</t>
  </si>
  <si>
    <t>Activités photographiques</t>
  </si>
  <si>
    <t>Enseignement culturel</t>
  </si>
  <si>
    <t>Annexe 2 :</t>
  </si>
  <si>
    <t>Culture de plantes à boissons</t>
  </si>
  <si>
    <t>Culture de la vigne</t>
  </si>
  <si>
    <t>Pêche en mer</t>
  </si>
  <si>
    <t>Pêche en eau douce</t>
  </si>
  <si>
    <t>Aquaculture en mer</t>
  </si>
  <si>
    <t>Aquaculture en eau douce</t>
  </si>
  <si>
    <t>Production de boissons alcooliques distillées</t>
  </si>
  <si>
    <t>Fabrication de vins effervescents</t>
  </si>
  <si>
    <t>Vinification</t>
  </si>
  <si>
    <t>Fabrication de cidre et de vins de fruits</t>
  </si>
  <si>
    <t>Production d'autres boissons fermentées non distillées</t>
  </si>
  <si>
    <t>Fabrication de bière</t>
  </si>
  <si>
    <t>Production de fromages sous appellation d'origine protégée ou indication géographique protégée</t>
  </si>
  <si>
    <t>Fabrication de malt</t>
  </si>
  <si>
    <t>Centrales d'achat alimentaires</t>
  </si>
  <si>
    <t>Autres intermédiaires du commerce en denrées et boissons</t>
  </si>
  <si>
    <t>Commerce de gros de fruits et légumes</t>
  </si>
  <si>
    <t>Herboristerie/ horticulture/ commerce de gros de fleurs et plans</t>
  </si>
  <si>
    <t>Commerce de gros de produits laitiers, œufs, huiles et matières grasses comestibles</t>
  </si>
  <si>
    <t>Commerce de gros de boissons</t>
  </si>
  <si>
    <t>Mareyage et commerce de gros de poissons, coquillages, crustacés</t>
  </si>
  <si>
    <t>Commerce de gros alimentaire spécialisé divers</t>
  </si>
  <si>
    <t>Commerce de gros de produits surgelés</t>
  </si>
  <si>
    <t>Commerce de gros alimentaire</t>
  </si>
  <si>
    <t>Commerce de gros non spécialisé</t>
  </si>
  <si>
    <t>Commerce de gros de textiles</t>
  </si>
  <si>
    <t>Intermédiaires spécialisés dans le commerce d'autres produits spécifiques</t>
  </si>
  <si>
    <t>Commerce de gros d'habillement et de chaussures</t>
  </si>
  <si>
    <t>Commerce de gros d'autres biens domestiques</t>
  </si>
  <si>
    <t>Commerce de gros de vaisselle, verrerie et produits d'entretien</t>
  </si>
  <si>
    <t>Commerce de gros de fournitures et équipements divers pour le commerce et les services</t>
  </si>
  <si>
    <t>Blanchisserie-teinturerie de gros</t>
  </si>
  <si>
    <t>Stations-service</t>
  </si>
  <si>
    <t>Enregistrement sonore et édition musicale</t>
  </si>
  <si>
    <t>Editeurs de livres</t>
  </si>
  <si>
    <t>Services auxiliaires des transports aériens</t>
  </si>
  <si>
    <t>Services auxiliaires de transport par eau</t>
  </si>
  <si>
    <t>Boutique des galeries marchandes et des aéroports</t>
  </si>
  <si>
    <t>Magasins de souvenirs et de piété</t>
  </si>
  <si>
    <t>Autres métiers d'art</t>
  </si>
  <si>
    <t>Paris sportifs</t>
  </si>
  <si>
    <t>Activités liées à la production de matrices sonores originales, sur bandes, cassettes, CD, la mise à disposition des enregistrements, leur promotion et leur distribution</t>
  </si>
  <si>
    <t>Jour en Septembre</t>
  </si>
  <si>
    <t>Jour en Octobre</t>
  </si>
  <si>
    <t>Perte de chiffre d'affaire entre le 15/03/2020 et le 15/05/2020 :</t>
  </si>
  <si>
    <t>Date pour les créations d'entreprise</t>
  </si>
  <si>
    <t>Plafond :</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</si>
  <si>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</si>
  <si>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</si>
  <si>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</si>
  <si>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</si>
  <si>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</si>
  <si>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</si>
  <si>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</si>
  <si>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</si>
  <si>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</si>
  <si>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</si>
  <si>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Exercice 2019</t>
  </si>
  <si>
    <t>Exercice 2020</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</si>
  <si>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</si>
  <si>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</si>
  <si>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</si>
  <si>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</si>
  <si>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</si>
  <si>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</si>
  <si>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</si>
  <si>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</si>
  <si>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</si>
  <si>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</si>
  <si>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Ces aides prévues au articles 3-10, 3-11 et 3-12 ne sont pas cumulables au titre du mois d'octobre 2020</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</si>
  <si>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</si>
  <si>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</si>
  <si>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</si>
  <si>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</si>
  <si>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</si>
  <si>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</si>
  <si>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</si>
  <si>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</si>
  <si>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</si>
  <si>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</si>
  <si>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r>
      <t xml:space="preserve">Activités des parcs d'attractions, </t>
    </r>
    <r>
      <rPr>
        <sz val="9"/>
        <color rgb="FF5B9BD5"/>
        <rFont val="DIN Light"/>
        <family val="2"/>
      </rPr>
      <t xml:space="preserve">fêtes foraines </t>
    </r>
    <r>
      <rPr>
        <sz val="9"/>
        <color theme="1"/>
        <rFont val="DIN Light"/>
        <family val="2"/>
      </rPr>
      <t>et parcs à thèmes</t>
    </r>
  </si>
  <si>
    <t>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</si>
  <si>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de 2 a 60</t>
  </si>
  <si>
    <t>de 2 à 86</t>
  </si>
  <si>
    <t>(new*) Conseil et assistance opérationnelle apportés aux entreprises et aux autres organisations de distribution de films cinématographiques en matière de relations publiques et de communication</t>
  </si>
  <si>
    <t>(new*) Transports routiers réguliers de voyageurs</t>
  </si>
  <si>
    <t>(new*) Autres transports routiers de voyageurs</t>
  </si>
  <si>
    <t>(new*) Traducteurs-interprètes</t>
  </si>
  <si>
    <t>(new*) Prestation et location de chapiteaux, tentes, structures, sonorisation, photographie, lumière et pyrotechnie</t>
  </si>
  <si>
    <t>(new*) Transports de voyageurs par taxis et véhicules de tourisme avec chauffeur</t>
  </si>
  <si>
    <t>(new*) Location de courte durée de voitures et de véhicules automobiles légers</t>
  </si>
  <si>
    <t>(new*) Fabrication de structures métalliques et de parties de structures</t>
  </si>
  <si>
    <t>(new*) Régie publicitaire de médias</t>
  </si>
  <si>
    <t>(new*) Accueils collectifs de mineurs en hébergement touristique</t>
  </si>
  <si>
    <t>(new*)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</si>
  <si>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Activités de sécurité privée</t>
  </si>
  <si>
    <t>(new*) Nettoyage courant des bâtiments</t>
  </si>
  <si>
    <t>(new*) Autres activités de nettoyage des bâtiments et nettoyage industriel</t>
  </si>
  <si>
    <t>(new*) Fabrication de foie gras</t>
  </si>
  <si>
    <t>(new*) Préparation à caractère artisanal de produits de charcuterie</t>
  </si>
  <si>
    <t>(new*) Pâtisserie</t>
  </si>
  <si>
    <t>(new*) Commerce de détail de viandes et de produits à base de viande en magasin spécialisé</t>
  </si>
  <si>
    <t>(new*) Commerce de détail de viande, produits à base de viandes sur éventaires et marchés</t>
  </si>
  <si>
    <t>(new*) Fabrication de vêtements de travail</t>
  </si>
  <si>
    <t>(new*) Reproduction d'enregistrements</t>
  </si>
  <si>
    <t>(new*) Fabrication de verre creux</t>
  </si>
  <si>
    <t>(new*) Fabrication d'articles céramiques à usage domestique ou ornemental</t>
  </si>
  <si>
    <t>(new*) Fabrication de coutellerie</t>
  </si>
  <si>
    <t>(new*) Fabrication d'articles métalliques ménagers</t>
  </si>
  <si>
    <t>(new*) Fabrication d'appareils ménagers non électriques</t>
  </si>
  <si>
    <t>(new*) Fabrication d'appareils d'éclairage électrique</t>
  </si>
  <si>
    <t>(new*) Travaux d'installation électrique dans tous locaux</t>
  </si>
  <si>
    <t>(new*) Aménagement de lieux de vente</t>
  </si>
  <si>
    <t>(new*) Commerce de détail de fleurs, en pot ou coupées, de compositions florales, de plantes et de graines</t>
  </si>
  <si>
    <t>(new*) Commerce de détail de livres sur éventaires et marchés</t>
  </si>
  <si>
    <t>(new*) Courtier en assurance voyage</t>
  </si>
  <si>
    <t>(new*) Location et exploitation d'immeubles non résidentiels de réception</t>
  </si>
  <si>
    <t>(new*) Conseil en relations publiques et communication</t>
  </si>
  <si>
    <t>(new*) Activités des agences de publicité</t>
  </si>
  <si>
    <t>(new*) Activités spécialisées de design</t>
  </si>
  <si>
    <t>(new*) Activités spécialisées, scientifiques et techniques diverses</t>
  </si>
  <si>
    <t>(new*) Services administratifs d'assistance à la demande de visas</t>
  </si>
  <si>
    <t>(new*) Autre création artistique</t>
  </si>
  <si>
    <t>(new*) Blanchisserie-teinturerie de détail</t>
  </si>
  <si>
    <t>(new*) Construction de maisons mobiles pour les terrains de camping</t>
  </si>
  <si>
    <t>(new*) Fabrication de vêtements de cérémonie, d'accessoires de ganterie et de chapellerie et de costumes pour les grands évènements</t>
  </si>
  <si>
    <t>(new*) Vente par automate</t>
  </si>
  <si>
    <t>(new*) Commerce de gros de viandes et de produits à base de viande</t>
  </si>
  <si>
    <t>(new*) Activités des agences de placement de main-d'œuvre</t>
  </si>
  <si>
    <t>(new*) Garde d'animaux de compagnie avec ou sans hébergement</t>
  </si>
  <si>
    <t>(new*) Fabrication de dentelle et broderie</t>
  </si>
  <si>
    <t>(new*) Couturiers</t>
  </si>
  <si>
    <t>(new*) Entreprises artisanales réalisant au moins 50 % de leur chiffre d'affaires par la vente de leurs produits ou services sur les foires et salons</t>
  </si>
  <si>
    <t>(new*)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</si>
  <si>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t>(new*) Fabrication et distribution de matériels scéniques, audiovisuels et évènementiels</t>
  </si>
  <si>
    <t>(new*)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</si>
  <si>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Pré-requis pour les entreprises nouvelles : avoir débuté son activité avant le 31 Août 2020</t>
  </si>
  <si>
    <t>* champs obligatoires (sauf si 0 €)</t>
  </si>
  <si>
    <t>Notice :</t>
  </si>
  <si>
    <t>*</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</si>
  <si>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</si>
  <si>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</si>
  <si>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</si>
  <si>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</si>
  <si>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</si>
  <si>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</si>
  <si>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</si>
  <si>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</si>
  <si>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</si>
  <si>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</si>
  <si>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</si>
  <si>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</si>
  <si>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</si>
  <si>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</si>
  <si>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r>
      <t xml:space="preserve">Vous </t>
    </r>
    <r>
      <rPr>
        <b/>
        <u val="single"/>
        <sz val="11"/>
        <color rgb="FF0D4174"/>
        <rFont val="Calibri"/>
        <family val="2"/>
        <scheme val="minor"/>
      </rPr>
      <t>devez</t>
    </r>
    <r>
      <rPr>
        <b/>
        <sz val="11"/>
        <color rgb="FF0D4174"/>
        <rFont val="Calibri"/>
        <family val="2"/>
        <scheme val="minor"/>
      </rPr>
      <t>, pour 2020, compléter les CA réalisés :</t>
    </r>
  </si>
  <si>
    <t>L'activité fait-elle partie de celles énumérées dans les annexes des décrets ? Choisissez….</t>
  </si>
  <si>
    <t xml:space="preserve"> - CA TOTAL exercice 2019 :</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</si>
  <si>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</si>
  <si>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</si>
  <si>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</si>
  <si>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</si>
  <si>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</si>
  <si>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</si>
  <si>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</si>
  <si>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</si>
  <si>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</si>
  <si>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10 000 € maximum en cas de fermeture Administrative ou est l'une des activités mentionnées en annexe 1 ou en annexe 2 mais avec une perte de CA d'au moins 80 % entre le 15/03/2020 et le 15/05/2020</t>
  </si>
  <si>
    <t>* Aide de 333 € maximum journalier, en cas de Fermeture Administrative au mois d'octobre</t>
  </si>
  <si>
    <t>À cocher en cas de fermeture administrative de Septembre à Octobre :</t>
  </si>
  <si>
    <t>- Le décret 2020-1328 du 02/11/2020 (lien ici)</t>
  </si>
  <si>
    <t>SUIVI DES AIDES ANNONCÉES 
PAR LE DÉCRET 2020-1328 DU 02/11/2020</t>
  </si>
  <si>
    <t>SEULES LES ENTREPRISES DE MOINS DE 50 SALARIÉS PEUVENT EN BÉNÉFICIER :</t>
  </si>
  <si>
    <t>- Notre FAQ sur le sujet (lien ici)</t>
  </si>
  <si>
    <t>- Notre résumé du décret 2020-1328 du 02/11/2020 (lien ici)</t>
  </si>
  <si>
    <t>Pour plus d'informations :</t>
  </si>
  <si>
    <r>
      <t xml:space="preserve">Selon les éléments renseignés à l'onglet « Mon entreprise », voici le résultat de l'étude </t>
    </r>
    <r>
      <rPr>
        <b/>
        <sz val="11"/>
        <color rgb="FF0D4174"/>
        <rFont val="Wingdings"/>
        <family val="2"/>
      </rPr>
      <t>J</t>
    </r>
  </si>
  <si>
    <t>Attention, ce fichier est effectué par nos soins mais ne saurait engager notre responsabilité.</t>
  </si>
  <si>
    <t>À cocher en cas de fermeture administrative en Novembre</t>
  </si>
  <si>
    <t>- Notion de fermeture administrative définie au décret 2020-1310 du 29/10/2020 (lien ici)</t>
  </si>
  <si>
    <t xml:space="preserve"> * Aide pour les entreprises domicilées dans des zones ayant subi des mesures de couvre-feu de 21H-6H avec une perte de CA d'au moins 50% du CA en Octobre :</t>
  </si>
  <si>
    <t>Plafond en zone de couvre feu :</t>
  </si>
  <si>
    <t>Date de création :</t>
  </si>
  <si>
    <t>Plafond hors zone de couvre feu :</t>
  </si>
  <si>
    <t>Ticket modérateur :</t>
  </si>
  <si>
    <t>CA de référence en € :</t>
  </si>
  <si>
    <t>CA de référence en % :</t>
  </si>
  <si>
    <t>Aide couvre feu montant :</t>
  </si>
  <si>
    <t>Aide hors couvre feu montant :</t>
  </si>
  <si>
    <t>Aide fermeture administrative :</t>
  </si>
  <si>
    <t xml:space="preserve"> * Aide pour les entreprises domicilées hors des zones ayant subi des mesures de couvre-feu mais ayant une perte de CA d'au moins 50 % ou 70% du CA en Octobre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</si>
  <si>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</si>
  <si>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</si>
  <si>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</si>
  <si>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</si>
  <si>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</si>
  <si>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</si>
  <si>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 Aide de 10 000 € maximum en cas de fermeture Administrative, ou est l'une des activités mentionnées en annexe 1 ,ou en annexe 2 mais avec une perte de CA d'au moins 80 % entre le 15/03/2020 et le 15/05/2020</t>
  </si>
  <si>
    <t>EXPLICATION SUR LES CALCULS DES AIDES ANNONCÉES 
PAR LE DÉCRET 2020-1328 DU 02/11/2020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</si>
</sst>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 &quot;€&quot;_-;\-* #,##0\ &quot;€&quot;_-;_-* &quot;-&quot;??\ &quot;€&quot;_-;_-@_-"/>
  </numFmts>
  <fonts count="33">
    <font>
      <sz val="11"/>
      <color theme="1"/>
      <name val="Calibri"/>
      <family val="2"/>
      <scheme val="minor"/>
    </font>
    <font>
      <sz val="10"/>
      <name val="Arial"/>
      <family val="2"/>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amily val="2"/>
    </font>
    <font>
      <sz val="9"/>
      <color rgb="FF5B9BD5"/>
      <name val="DIN Light"/>
      <family val="2"/>
    </font>
    <font>
      <sz val="9"/>
      <color rgb="FF3C3C3C"/>
      <name val="DIN Light"/>
      <family val="2"/>
    </font>
    <font>
      <u val="single"/>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val="single"/>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family val="2"/>
    </font>
    <font>
      <sz val="11"/>
      <name val="Calibri"/>
      <family val="2"/>
      <scheme val="minor"/>
    </font>
    <font>
      <b/>
      <sz val="11"/>
      <color theme="0"/>
      <name val="+mn-cs"/>
      <family val="2"/>
    </font>
    <font>
      <sz val="11"/>
      <color theme="1"/>
      <name val="Calibri"/>
      <family val="2"/>
    </font>
  </fonts>
  <fills count="6">
    <fill>
      <patternFill/>
    </fill>
    <fill>
      <patternFill patternType="gray125"/>
    </fill>
    <fill>
      <patternFill patternType="solid">
        <fgColor rgb="FFFFFFFF"/>
        <bgColor indexed="64"/>
      </patternFill>
    </fill>
    <fill>
      <patternFill patternType="solid">
        <fgColor rgb="FF0D4174"/>
        <bgColor indexed="64"/>
      </patternFill>
    </fill>
    <fill>
      <patternFill patternType="solid">
        <fgColor rgb="FFFAC230"/>
        <bgColor indexed="64"/>
      </patternFill>
    </fill>
    <fill>
      <patternFill patternType="solid">
        <fgColor rgb="FF8ECFDD"/>
        <bgColor indexed="64"/>
      </patternFill>
    </fill>
  </fills>
  <borders count="37">
    <border>
      <left/>
      <right/>
      <top/>
      <bottom/>
      <diagonal/>
    </border>
    <border>
      <left/>
      <right style="thin"/>
      <top/>
      <bottom style="thin"/>
    </border>
    <border>
      <left/>
      <right/>
      <top/>
      <bottom style="thin"/>
    </border>
    <border>
      <left/>
      <right/>
      <top style="thin"/>
      <bottom/>
    </border>
    <border>
      <left/>
      <right style="thin"/>
      <top style="thin"/>
      <bottom/>
    </border>
    <border>
      <left/>
      <right style="thin"/>
      <top/>
      <bottom/>
    </border>
    <border>
      <left style="thin"/>
      <right/>
      <top/>
      <bottom/>
    </border>
    <border>
      <left style="thin"/>
      <right/>
      <top/>
      <bottom style="thin"/>
    </border>
    <border>
      <left style="thin"/>
      <right/>
      <top style="thin"/>
      <bottom/>
    </border>
    <border>
      <left/>
      <right/>
      <top/>
      <bottom style="medium">
        <color rgb="FF0D4174"/>
      </bottom>
    </border>
    <border>
      <left/>
      <right/>
      <top style="medium">
        <color rgb="FF0D4174"/>
      </top>
      <bottom/>
    </border>
    <border>
      <left/>
      <right/>
      <top/>
      <bottom style="thin">
        <color rgb="FF0D4174"/>
      </bottom>
    </border>
    <border>
      <left/>
      <right style="thin">
        <color rgb="FF0D4174"/>
      </right>
      <top/>
      <bottom/>
    </border>
    <border>
      <left style="thin">
        <color rgb="FF0D4174"/>
      </left>
      <right/>
      <top/>
      <bottom style="thin">
        <color rgb="FF0D4174"/>
      </bottom>
    </border>
    <border>
      <left/>
      <right style="thin"/>
      <top/>
      <bottom style="thin">
        <color rgb="FF0D4174"/>
      </bottom>
    </border>
    <border>
      <left/>
      <right style="thin">
        <color rgb="FF0D4174"/>
      </right>
      <top style="thin"/>
      <bottom/>
    </border>
    <border>
      <left/>
      <right/>
      <top style="thin">
        <color rgb="FF0D4174"/>
      </top>
      <bottom/>
    </border>
    <border>
      <left/>
      <right style="thin">
        <color rgb="FF0D4174"/>
      </right>
      <top style="thin">
        <color rgb="FF0D4174"/>
      </top>
      <bottom/>
    </border>
    <border>
      <left/>
      <right style="thin">
        <color rgb="FF0D4174"/>
      </right>
      <top/>
      <bottom style="thin">
        <color rgb="FF0D4174"/>
      </bottom>
    </border>
    <border>
      <left/>
      <right style="medium">
        <color rgb="FF0D4174"/>
      </right>
      <top/>
      <bottom/>
    </border>
    <border>
      <left style="medium">
        <color rgb="FF0D4174"/>
      </left>
      <right/>
      <top/>
      <bottom/>
    </border>
    <border>
      <left style="medium">
        <color rgb="FF0D4174"/>
      </left>
      <right/>
      <top/>
      <bottom style="medium">
        <color rgb="FF0D4174"/>
      </bottom>
    </border>
    <border>
      <left/>
      <right style="medium">
        <color rgb="FF0D4174"/>
      </right>
      <top/>
      <bottom style="medium">
        <color rgb="FF0D4174"/>
      </bottom>
    </border>
    <border>
      <left/>
      <right/>
      <top style="medium"/>
      <bottom/>
    </border>
    <border>
      <left style="medium">
        <color rgb="FF0D4174"/>
      </left>
      <right style="medium">
        <color rgb="FF0D4174"/>
      </right>
      <top style="medium">
        <color rgb="FF0D4174"/>
      </top>
      <bottom style="medium">
        <color rgb="FF0D4174"/>
      </bottom>
    </border>
    <border>
      <left style="medium">
        <color rgb="FF0D4174"/>
      </left>
      <right/>
      <top style="medium">
        <color rgb="FF0D4174"/>
      </top>
      <bottom/>
    </border>
    <border>
      <left/>
      <right style="medium">
        <color rgb="FF0D4174"/>
      </right>
      <top style="medium">
        <color rgb="FF0D4174"/>
      </top>
      <bottom/>
    </border>
    <border>
      <left style="medium">
        <color rgb="FF0D4174"/>
      </left>
      <right/>
      <top style="medium">
        <color rgb="FF0D4174"/>
      </top>
      <bottom style="medium">
        <color rgb="FF0D4174"/>
      </bottom>
    </border>
    <border>
      <left/>
      <right/>
      <top style="medium">
        <color rgb="FF0D4174"/>
      </top>
      <bottom style="medium">
        <color rgb="FF0D4174"/>
      </bottom>
    </border>
    <border>
      <left/>
      <right style="medium">
        <color rgb="FF0D4174"/>
      </right>
      <top style="medium">
        <color rgb="FF0D4174"/>
      </top>
      <bottom style="medium">
        <color rgb="FF0D417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cellStyleXfs>
  <cellXfs count="307">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9" fontId="0" fillId="0" borderId="0" xfId="21" applyFont="1" applyFill="1"/>
    <xf numFmtId="44" fontId="0" fillId="0" borderId="0" xfId="20" applyFont="1" applyBorder="1"/>
    <xf numFmtId="44" fontId="0" fillId="0" borderId="0" xfId="0" applyNumberFormat="1"/>
    <xf numFmtId="9" fontId="0" fillId="0" borderId="0" xfId="21" applyFont="1"/>
    <xf numFmtId="0" fontId="0" fillId="0" borderId="0" xfId="0" applyAlignment="1">
      <alignment horizontal="center" vertical="center" wrapText="1"/>
    </xf>
    <xf numFmtId="0" fontId="0" fillId="0" borderId="0" xfId="0" applyAlignment="1">
      <alignment vertical="center" wrapText="1"/>
    </xf>
    <xf numFmtId="44" fontId="0" fillId="0" borderId="0" xfId="0" applyNumberFormat="1" applyBorder="1"/>
    <xf numFmtId="9" fontId="0" fillId="0" borderId="0" xfId="21" applyFont="1" applyBorder="1"/>
    <xf numFmtId="0" fontId="0" fillId="0" borderId="0" xfId="0" applyFill="1" applyBorder="1"/>
    <xf numFmtId="0" fontId="0" fillId="0" borderId="0" xfId="0" applyAlignment="1">
      <alignment horizontal="left"/>
    </xf>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applyAlignment="1">
      <alignment vertical="center" wrapText="1"/>
    </xf>
    <xf numFmtId="0" fontId="3" fillId="0" borderId="0" xfId="0" applyFont="1"/>
    <xf numFmtId="44" fontId="0" fillId="0" borderId="0" xfId="0" applyNumberFormat="1" applyBorder="1" applyAlignment="1">
      <alignment horizontal="right"/>
    </xf>
    <xf numFmtId="9" fontId="0" fillId="0" borderId="0" xfId="21" applyFont="1" applyBorder="1" applyAlignment="1">
      <alignment horizontal="right"/>
    </xf>
    <xf numFmtId="44" fontId="0" fillId="0" borderId="6" xfId="20" applyFont="1" applyBorder="1"/>
    <xf numFmtId="164" fontId="0" fillId="0" borderId="0" xfId="20" applyNumberFormat="1" applyFont="1" applyBorder="1"/>
    <xf numFmtId="164" fontId="0" fillId="0" borderId="6" xfId="20" applyNumberFormat="1" applyFont="1" applyBorder="1"/>
    <xf numFmtId="164" fontId="0" fillId="0" borderId="0" xfId="20" applyNumberFormat="1" applyFont="1" applyBorder="1" applyAlignment="1">
      <alignment horizontal="right"/>
    </xf>
    <xf numFmtId="0" fontId="5" fillId="0" borderId="0" xfId="0" applyFont="1" applyAlignment="1">
      <alignment horizontal="center"/>
    </xf>
    <xf numFmtId="44" fontId="0" fillId="0" borderId="6" xfId="0" applyNumberFormat="1" applyBorder="1"/>
    <xf numFmtId="0" fontId="0" fillId="0" borderId="5" xfId="0" applyBorder="1" applyAlignment="1">
      <alignment horizontal="center"/>
    </xf>
    <xf numFmtId="9" fontId="0" fillId="0" borderId="5" xfId="21" applyFont="1" applyBorder="1"/>
    <xf numFmtId="9" fontId="0" fillId="0" borderId="5" xfId="21" applyFont="1" applyBorder="1" applyAlignment="1">
      <alignment horizontal="right"/>
    </xf>
    <xf numFmtId="9" fontId="0" fillId="0" borderId="6" xfId="21" applyFont="1" applyBorder="1" applyAlignment="1">
      <alignment horizontal="right"/>
    </xf>
    <xf numFmtId="9" fontId="0" fillId="0" borderId="6" xfId="21"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vertical="center"/>
    </xf>
    <xf numFmtId="0" fontId="10" fillId="0" borderId="0" xfId="22" applyAlignment="1">
      <alignment vertical="center"/>
    </xf>
    <xf numFmtId="44" fontId="0" fillId="0" borderId="5" xfId="0" applyNumberFormat="1" applyBorder="1"/>
    <xf numFmtId="44" fontId="0" fillId="0" borderId="0" xfId="20" applyFont="1" applyBorder="1" applyAlignment="1">
      <alignment horizontal="right"/>
    </xf>
    <xf numFmtId="10" fontId="0" fillId="0" borderId="0" xfId="21"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xf>
    <xf numFmtId="0" fontId="12" fillId="0" borderId="0" xfId="0" applyFont="1" applyBorder="1"/>
    <xf numFmtId="0" fontId="12" fillId="0" borderId="0" xfId="0" applyFont="1" applyAlignment="1">
      <alignment horizontal="left"/>
    </xf>
    <xf numFmtId="0" fontId="12" fillId="0" borderId="3" xfId="0" applyFont="1" applyBorder="1" applyAlignment="1">
      <alignment horizontal="left"/>
    </xf>
    <xf numFmtId="0" fontId="12" fillId="0" borderId="6"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xf>
    <xf numFmtId="0" fontId="12" fillId="0" borderId="3" xfId="0" applyFont="1" applyBorder="1"/>
    <xf numFmtId="44" fontId="15" fillId="0" borderId="0" xfId="20" applyFont="1"/>
    <xf numFmtId="0" fontId="12" fillId="0" borderId="0" xfId="0" applyFont="1" quotePrefix="1"/>
    <xf numFmtId="44" fontId="12" fillId="0" borderId="0" xfId="20" applyFont="1" applyBorder="1"/>
    <xf numFmtId="0" fontId="15" fillId="0" borderId="0" xfId="0" applyFont="1" applyAlignment="1" quotePrefix="1">
      <alignment horizontal="right"/>
    </xf>
    <xf numFmtId="44" fontId="12" fillId="0" borderId="0" xfId="0" applyNumberFormat="1" applyFont="1"/>
    <xf numFmtId="44" fontId="12" fillId="0" borderId="0" xfId="20" applyFont="1"/>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xf>
    <xf numFmtId="0" fontId="15" fillId="0" borderId="0" xfId="0" applyFont="1" applyAlignment="1">
      <alignment/>
    </xf>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1" applyFont="1" applyBorder="1"/>
    <xf numFmtId="9" fontId="12" fillId="0" borderId="0" xfId="21" applyFont="1" applyFill="1"/>
    <xf numFmtId="0" fontId="0" fillId="0" borderId="9" xfId="0" applyBorder="1"/>
    <xf numFmtId="0" fontId="12" fillId="0" borderId="9" xfId="0" applyFont="1" applyBorder="1"/>
    <xf numFmtId="0" fontId="5" fillId="0" borderId="10" xfId="0" applyFont="1" applyBorder="1" applyAlignment="1">
      <alignment horizontal="center"/>
    </xf>
    <xf numFmtId="0" fontId="12" fillId="0" borderId="11" xfId="0" applyFont="1" applyBorder="1"/>
    <xf numFmtId="0" fontId="12" fillId="0" borderId="12" xfId="0" applyFont="1" applyBorder="1"/>
    <xf numFmtId="0" fontId="12" fillId="0" borderId="13" xfId="0" applyFont="1" applyBorder="1"/>
    <xf numFmtId="0" fontId="12" fillId="0" borderId="11" xfId="0" applyFont="1" applyBorder="1" applyAlignment="1">
      <alignment/>
    </xf>
    <xf numFmtId="0" fontId="0" fillId="0" borderId="14" xfId="0" applyBorder="1"/>
    <xf numFmtId="0" fontId="0" fillId="0" borderId="15" xfId="0" applyBorder="1"/>
    <xf numFmtId="0" fontId="0" fillId="0" borderId="12" xfId="0" applyBorder="1"/>
    <xf numFmtId="0" fontId="12" fillId="0" borderId="16" xfId="0" applyFont="1" applyBorder="1"/>
    <xf numFmtId="0" fontId="0" fillId="0" borderId="17" xfId="0" applyBorder="1"/>
    <xf numFmtId="0" fontId="15" fillId="0" borderId="12" xfId="0" applyFont="1" applyBorder="1"/>
    <xf numFmtId="0" fontId="0" fillId="0" borderId="12" xfId="0" applyBorder="1" applyAlignment="1">
      <alignment vertical="center" wrapText="1"/>
    </xf>
    <xf numFmtId="0" fontId="2" fillId="0" borderId="12" xfId="0" applyFont="1" applyBorder="1" applyAlignment="1">
      <alignment vertical="center" wrapText="1"/>
    </xf>
    <xf numFmtId="0" fontId="0" fillId="0" borderId="12" xfId="0" applyBorder="1" applyAlignment="1">
      <alignment horizontal="center" vertical="center" wrapText="1"/>
    </xf>
    <xf numFmtId="0" fontId="0" fillId="0" borderId="18" xfId="0" applyBorder="1"/>
    <xf numFmtId="0" fontId="14" fillId="0" borderId="0" xfId="0" applyFont="1"/>
    <xf numFmtId="0" fontId="16" fillId="0" borderId="0" xfId="0" applyFont="1" applyFill="1" applyAlignment="1">
      <alignment vertical="center"/>
    </xf>
    <xf numFmtId="0" fontId="0" fillId="0" borderId="11" xfId="0" applyBorder="1"/>
    <xf numFmtId="0" fontId="0" fillId="0" borderId="11" xfId="0" applyFill="1" applyBorder="1"/>
    <xf numFmtId="0" fontId="6" fillId="0" borderId="11" xfId="0" applyFont="1" applyBorder="1" applyAlignment="1">
      <alignment horizontal="center" wrapText="1"/>
    </xf>
    <xf numFmtId="0" fontId="3" fillId="3" borderId="19" xfId="0" applyFont="1" applyFill="1" applyBorder="1"/>
    <xf numFmtId="0" fontId="3" fillId="3" borderId="20" xfId="0" applyFont="1" applyFill="1" applyBorder="1"/>
    <xf numFmtId="0" fontId="3" fillId="3" borderId="21" xfId="0" applyFont="1" applyFill="1" applyBorder="1"/>
    <xf numFmtId="0" fontId="3" fillId="3" borderId="9" xfId="0" applyFont="1" applyFill="1" applyBorder="1"/>
    <xf numFmtId="0" fontId="3" fillId="3" borderId="22"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2"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22"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6" xfId="0" applyFont="1" applyBorder="1"/>
    <xf numFmtId="0" fontId="24" fillId="0" borderId="5"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3" xfId="0" applyFont="1" applyBorder="1"/>
    <xf numFmtId="0" fontId="4" fillId="0" borderId="0" xfId="0" applyFont="1" applyFill="1" applyAlignment="1">
      <alignment horizontal="left"/>
    </xf>
    <xf numFmtId="0" fontId="24" fillId="0" borderId="0" xfId="0" applyFont="1" applyFill="1" applyAlignment="1">
      <alignment horizontal="left"/>
    </xf>
    <xf numFmtId="44" fontId="12" fillId="4" borderId="24" xfId="20" applyFont="1" applyFill="1" applyBorder="1" applyProtection="1">
      <protection locked="0"/>
    </xf>
    <xf numFmtId="14" fontId="12" fillId="0" borderId="0" xfId="0" applyNumberFormat="1" applyFont="1"/>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6" xfId="0" applyBorder="1" applyAlignment="1">
      <alignment horizontal="right"/>
    </xf>
    <xf numFmtId="0" fontId="27" fillId="0" borderId="0" xfId="0" applyFont="1" applyAlignment="1">
      <alignment horizontal="left"/>
    </xf>
    <xf numFmtId="0" fontId="0" fillId="0" borderId="0" xfId="0" applyAlignment="1">
      <alignment horizontal="center"/>
    </xf>
    <xf numFmtId="0" fontId="15" fillId="0" borderId="0" xfId="0" applyFont="1" applyFill="1"/>
    <xf numFmtId="0" fontId="15" fillId="0" borderId="0" xfId="0" applyFont="1" applyAlignment="1" quotePrefix="1">
      <alignment horizontal="left"/>
    </xf>
    <xf numFmtId="0" fontId="12" fillId="0" borderId="12" xfId="0" applyFont="1" applyBorder="1" applyAlignment="1">
      <alignment horizontal="left"/>
    </xf>
    <xf numFmtId="0" fontId="2" fillId="0" borderId="0" xfId="0" applyFont="1"/>
    <xf numFmtId="9" fontId="15" fillId="0" borderId="0" xfId="21" applyFont="1" applyFill="1"/>
    <xf numFmtId="0" fontId="0" fillId="0" borderId="5" xfId="0" applyFill="1" applyBorder="1" applyAlignment="1">
      <alignment vertical="center"/>
    </xf>
    <xf numFmtId="0" fontId="0" fillId="0" borderId="5" xfId="0" applyBorder="1" applyAlignment="1">
      <alignment vertical="center"/>
    </xf>
    <xf numFmtId="0" fontId="0" fillId="0" borderId="6" xfId="0" applyBorder="1" applyAlignment="1">
      <alignment horizontal="center"/>
    </xf>
    <xf numFmtId="0" fontId="0" fillId="0" borderId="2" xfId="0" applyFill="1" applyBorder="1"/>
    <xf numFmtId="0" fontId="0" fillId="0" borderId="2" xfId="0" applyBorder="1" quotePrefix="1"/>
    <xf numFmtId="0" fontId="0" fillId="0" borderId="0" xfId="0" applyFill="1" applyBorder="1" applyAlignment="1">
      <alignment horizontal="right" vertical="center"/>
    </xf>
    <xf numFmtId="0" fontId="0" fillId="0" borderId="0" xfId="0" applyBorder="1" applyAlignment="1">
      <alignment/>
    </xf>
    <xf numFmtId="0" fontId="15" fillId="0" borderId="0" xfId="0" applyFont="1" applyAlignment="1">
      <alignment wrapText="1"/>
    </xf>
    <xf numFmtId="9" fontId="0" fillId="0" borderId="0" xfId="21" applyFont="1" applyFill="1" applyBorder="1" applyAlignment="1">
      <alignment horizontal="right"/>
    </xf>
    <xf numFmtId="164" fontId="0" fillId="0" borderId="5" xfId="20" applyNumberFormat="1" applyFont="1" applyBorder="1"/>
    <xf numFmtId="164" fontId="0" fillId="0" borderId="5" xfId="20"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5" fillId="0" borderId="0" xfId="0" applyFont="1" applyAlignment="1">
      <alignment horizontal="left"/>
    </xf>
    <xf numFmtId="0" fontId="12" fillId="0" borderId="0" xfId="0" applyFont="1" applyAlignment="1">
      <alignment horizontal="left"/>
    </xf>
    <xf numFmtId="0" fontId="0" fillId="0" borderId="6" xfId="0" applyBorder="1" applyAlignment="1">
      <alignment horizontal="right"/>
    </xf>
    <xf numFmtId="0" fontId="0" fillId="0" borderId="0" xfId="0" applyBorder="1" applyAlignment="1">
      <alignment horizontal="right"/>
    </xf>
    <xf numFmtId="0" fontId="0" fillId="0" borderId="0" xfId="0" applyBorder="1" applyAlignment="1">
      <alignment horizontal="center"/>
    </xf>
    <xf numFmtId="0" fontId="27" fillId="0" borderId="0" xfId="0" applyFont="1" applyAlignment="1">
      <alignment horizontal="left"/>
    </xf>
    <xf numFmtId="0" fontId="0" fillId="0" borderId="0" xfId="0" applyFill="1" applyBorder="1" applyAlignment="1">
      <alignment horizontal="right" vertical="center"/>
    </xf>
    <xf numFmtId="0" fontId="11" fillId="3" borderId="0" xfId="0" applyFont="1" applyFill="1" applyBorder="1" quotePrefix="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20" applyNumberFormat="1" applyFont="1" applyBorder="1" applyAlignment="1">
      <alignment horizontal="right"/>
    </xf>
    <xf numFmtId="164" fontId="30" fillId="0" borderId="6" xfId="20" applyNumberFormat="1" applyFont="1" applyBorder="1"/>
    <xf numFmtId="44" fontId="30" fillId="0" borderId="0" xfId="20" applyFont="1" applyBorder="1" applyAlignment="1">
      <alignment horizontal="right"/>
    </xf>
    <xf numFmtId="0" fontId="30" fillId="0" borderId="0" xfId="0" applyFont="1" applyBorder="1" applyAlignment="1">
      <alignment horizontal="right"/>
    </xf>
    <xf numFmtId="0" fontId="30" fillId="0" borderId="6" xfId="0" applyFont="1" applyBorder="1"/>
    <xf numFmtId="9" fontId="30" fillId="0" borderId="5" xfId="21" applyFont="1" applyBorder="1" applyAlignment="1">
      <alignment horizontal="right"/>
    </xf>
    <xf numFmtId="0" fontId="14" fillId="0" borderId="0" xfId="0" applyFont="1" applyAlignment="1">
      <alignment horizontal="left"/>
    </xf>
    <xf numFmtId="0" fontId="23" fillId="0" borderId="25"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26" xfId="0" applyFont="1" applyFill="1" applyBorder="1" applyAlignment="1">
      <alignment horizontal="left" vertical="top" wrapText="1"/>
    </xf>
    <xf numFmtId="0" fontId="11" fillId="3" borderId="0" xfId="22" applyFont="1" applyFill="1" applyAlignment="1" quotePrefix="1">
      <alignment horizontal="left" vertical="center" wrapText="1"/>
    </xf>
    <xf numFmtId="0" fontId="11" fillId="3" borderId="0" xfId="22" applyFont="1" applyFill="1" applyAlignment="1">
      <alignment horizontal="left" vertical="center" wrapText="1"/>
    </xf>
    <xf numFmtId="0" fontId="28" fillId="3" borderId="0" xfId="0" applyFont="1" applyFill="1" applyAlignment="1">
      <alignment horizontal="left" vertical="center" wrapText="1"/>
    </xf>
    <xf numFmtId="16" fontId="12" fillId="0" borderId="0" xfId="0" applyNumberFormat="1" applyFont="1" applyAlignment="1" quotePrefix="1">
      <alignment horizontal="left"/>
    </xf>
    <xf numFmtId="0" fontId="11" fillId="3" borderId="0" xfId="0" applyFont="1" applyFill="1" applyAlignment="1">
      <alignment horizont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xf>
    <xf numFmtId="0" fontId="12" fillId="0" borderId="0" xfId="0" applyFont="1" applyAlignment="1" quotePrefix="1">
      <alignment horizontal="left"/>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quotePrefix="1">
      <alignment horizontal="left"/>
    </xf>
    <xf numFmtId="0" fontId="15" fillId="0" borderId="12" xfId="0" applyFont="1" applyBorder="1" applyAlignment="1" quotePrefix="1">
      <alignment horizontal="left"/>
    </xf>
    <xf numFmtId="0" fontId="16" fillId="3" borderId="25"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2" xfId="0" applyFont="1" applyFill="1" applyBorder="1" applyAlignment="1">
      <alignment horizontal="center" vertical="center"/>
    </xf>
    <xf numFmtId="0" fontId="13" fillId="4" borderId="25"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3" fillId="4" borderId="26"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1" fillId="3" borderId="27" xfId="0" applyFont="1" applyFill="1" applyBorder="1" applyAlignment="1">
      <alignment horizontal="center"/>
    </xf>
    <xf numFmtId="0" fontId="11" fillId="3" borderId="28" xfId="0" applyFont="1" applyFill="1" applyBorder="1" applyAlignment="1">
      <alignment horizontal="center"/>
    </xf>
    <xf numFmtId="0" fontId="11" fillId="3" borderId="29" xfId="0" applyFont="1" applyFill="1" applyBorder="1" applyAlignment="1">
      <alignment horizontal="center"/>
    </xf>
    <xf numFmtId="14" fontId="12" fillId="4" borderId="27" xfId="0" applyNumberFormat="1" applyFont="1" applyFill="1" applyBorder="1" applyAlignment="1" applyProtection="1">
      <alignment horizontal="center"/>
      <protection locked="0"/>
    </xf>
    <xf numFmtId="14" fontId="12" fillId="4" borderId="29" xfId="0" applyNumberFormat="1" applyFont="1" applyFill="1" applyBorder="1" applyAlignment="1" applyProtection="1">
      <alignment horizontal="center"/>
      <protection locked="0"/>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2" fillId="4" borderId="28" xfId="0" applyFont="1" applyFill="1" applyBorder="1" applyAlignment="1" applyProtection="1">
      <alignment horizontal="center"/>
      <protection locked="0"/>
    </xf>
    <xf numFmtId="0" fontId="12" fillId="4" borderId="29" xfId="0" applyFont="1" applyFill="1" applyBorder="1" applyAlignment="1" applyProtection="1">
      <alignment horizontal="center"/>
      <protection locked="0"/>
    </xf>
    <xf numFmtId="0" fontId="14" fillId="0" borderId="0" xfId="0" applyFont="1" applyAlignment="1">
      <alignment horizontal="center"/>
    </xf>
    <xf numFmtId="0" fontId="15" fillId="0" borderId="0" xfId="0" applyFont="1" applyAlignment="1">
      <alignment horizontal="right"/>
    </xf>
    <xf numFmtId="0" fontId="22" fillId="3" borderId="25" xfId="22" applyFont="1" applyFill="1" applyBorder="1" applyAlignment="1">
      <alignment horizontal="center" vertical="center"/>
    </xf>
    <xf numFmtId="0" fontId="22" fillId="3" borderId="10" xfId="22" applyFont="1" applyFill="1" applyBorder="1" applyAlignment="1">
      <alignment horizontal="center" vertical="center"/>
    </xf>
    <xf numFmtId="0" fontId="22" fillId="3" borderId="21" xfId="22" applyFont="1" applyFill="1" applyBorder="1" applyAlignment="1">
      <alignment horizontal="center" vertical="center"/>
    </xf>
    <xf numFmtId="0" fontId="22" fillId="3" borderId="9" xfId="22" applyFont="1" applyFill="1" applyBorder="1" applyAlignment="1">
      <alignment horizontal="center" vertical="center"/>
    </xf>
    <xf numFmtId="0" fontId="15" fillId="0" borderId="20" xfId="0" applyFont="1" applyBorder="1" applyAlignment="1">
      <alignment horizontal="left"/>
    </xf>
    <xf numFmtId="0" fontId="15" fillId="0" borderId="0" xfId="0" applyFont="1" applyAlignment="1">
      <alignment horizontal="left"/>
    </xf>
    <xf numFmtId="0" fontId="19" fillId="0" borderId="2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2" xfId="0" applyFont="1" applyFill="1" applyBorder="1" applyAlignment="1">
      <alignment horizontal="left" vertical="top" wrapText="1"/>
    </xf>
    <xf numFmtId="0" fontId="12" fillId="0" borderId="0" xfId="0" applyFont="1" applyBorder="1" applyAlignment="1">
      <alignment horizontal="center"/>
    </xf>
    <xf numFmtId="0" fontId="11" fillId="3" borderId="0" xfId="0" applyFont="1" applyFill="1" applyBorder="1" applyAlignment="1" quotePrefix="1">
      <alignment horizontal="left" wrapText="1"/>
    </xf>
    <xf numFmtId="0" fontId="12" fillId="0" borderId="0" xfId="0" applyFont="1" applyAlignment="1">
      <alignment horizontal="left"/>
    </xf>
    <xf numFmtId="0" fontId="12" fillId="0" borderId="0" xfId="0" applyFont="1" applyAlignment="1">
      <alignment horizontal="right"/>
    </xf>
    <xf numFmtId="0" fontId="12" fillId="0" borderId="0" xfId="0" applyFont="1" applyAlignment="1">
      <alignment horizontal="left" vertical="top" wrapText="1"/>
    </xf>
    <xf numFmtId="0" fontId="12" fillId="0" borderId="0" xfId="0" applyFont="1" applyAlignment="1">
      <alignment horizontal="left" vertical="top"/>
    </xf>
    <xf numFmtId="0" fontId="19" fillId="0" borderId="0" xfId="0" applyFont="1" applyAlignment="1">
      <alignment horizontal="left"/>
    </xf>
    <xf numFmtId="0" fontId="13" fillId="5" borderId="30"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6"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15" fillId="0" borderId="0" xfId="0" applyFont="1" applyAlignment="1">
      <alignment vertical="top" wrapText="1"/>
    </xf>
    <xf numFmtId="0" fontId="13" fillId="0" borderId="2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0" xfId="0" applyBorder="1" applyAlignment="1">
      <alignment horizontal="right"/>
    </xf>
    <xf numFmtId="0" fontId="0" fillId="0" borderId="0" xfId="0" applyFill="1" applyBorder="1" applyAlignment="1">
      <alignment horizontal="right" vertical="center"/>
    </xf>
    <xf numFmtId="0" fontId="17" fillId="3" borderId="0" xfId="0" applyFont="1" applyFill="1" applyAlignment="1">
      <alignment horizontal="left"/>
    </xf>
    <xf numFmtId="0" fontId="22" fillId="3" borderId="0" xfId="0" applyFont="1" applyFill="1" applyAlignment="1">
      <alignment horizontal="center" vertical="center" wrapText="1"/>
    </xf>
    <xf numFmtId="0" fontId="15" fillId="0" borderId="0" xfId="0" applyFont="1" applyAlignment="1">
      <alignment horizontal="left" wrapText="1"/>
    </xf>
    <xf numFmtId="0" fontId="17" fillId="3" borderId="0" xfId="0" applyFont="1" applyFill="1" applyAlignment="1">
      <alignment horizontal="left" wrapText="1"/>
    </xf>
    <xf numFmtId="0" fontId="0" fillId="0" borderId="0" xfId="0" applyBorder="1" applyAlignment="1">
      <alignment horizontal="center"/>
    </xf>
    <xf numFmtId="0" fontId="0" fillId="0" borderId="6" xfId="0" applyBorder="1" applyAlignment="1">
      <alignment horizontal="right"/>
    </xf>
    <xf numFmtId="0" fontId="0" fillId="0" borderId="0" xfId="0" applyBorder="1" applyAlignment="1">
      <alignment horizontal="right" vertical="center"/>
    </xf>
    <xf numFmtId="0" fontId="0" fillId="0" borderId="6" xfId="0" applyFill="1" applyBorder="1" applyAlignment="1">
      <alignment horizontal="right" vertical="center"/>
    </xf>
    <xf numFmtId="0" fontId="30" fillId="0" borderId="6" xfId="0" applyFont="1" applyBorder="1" applyAlignment="1">
      <alignment horizontal="right"/>
    </xf>
    <xf numFmtId="0" fontId="30" fillId="0" borderId="0" xfId="0" applyFont="1" applyBorder="1" applyAlignment="1">
      <alignment horizontal="right"/>
    </xf>
    <xf numFmtId="0" fontId="0" fillId="0" borderId="6" xfId="0" applyFill="1" applyBorder="1" applyAlignment="1">
      <alignment horizontal="right"/>
    </xf>
    <xf numFmtId="0" fontId="0" fillId="0" borderId="0" xfId="0" applyFill="1" applyBorder="1" applyAlignment="1">
      <alignment horizontal="right"/>
    </xf>
    <xf numFmtId="0" fontId="13" fillId="0" borderId="2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27" fillId="0" borderId="0" xfId="0" applyFont="1" applyAlignment="1">
      <alignment horizontal="left"/>
    </xf>
    <xf numFmtId="0" fontId="13" fillId="0" borderId="3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Monétaire" xfId="20"/>
    <cellStyle name="Pourcentage" xfId="21"/>
    <cellStyle name="Lien hypertext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Drop" dropStyle="combo" dx="16" fmlaLink="Annexes!$F$5" fmlaRange="Annexes!$B$4:$B$65" noThreeD="1" sel="1" val="0"/>
</file>

<file path=xl/ctrlProps/ctrlProp2.xml><?xml version="1.0" encoding="utf-8"?>
<formControlPr xmlns="http://schemas.microsoft.com/office/spreadsheetml/2009/9/main" objectType="Drop" dropStyle="combo" dx="16" fmlaLink="Annexes!$F$7" fmlaRange="Annexes!$D$4:$D$91" noThreeD="1" sel="1" val="0"/>
</file>

<file path=xl/ctrlProps/ctrlProp3.xml><?xml version="1.0" encoding="utf-8"?>
<formControlPr xmlns="http://schemas.microsoft.com/office/spreadsheetml/2009/9/main" objectType="CheckBox" fmlaLink="Annexes!$M$5" lockText="1" noThreeD="1"/>
</file>

<file path=xl/ctrlProps/ctrlProp4.xml><?xml version="1.0" encoding="utf-8"?>
<formControlPr xmlns="http://schemas.microsoft.com/office/spreadsheetml/2009/9/main" objectType="CheckBox" fmlaLink="Annexes!$M$9" lockText="1" noThreeD="1"/>
</file>

<file path=xl/ctrlProps/ctrlProp5.xml><?xml version="1.0" encoding="utf-8"?>
<formControlPr xmlns="http://schemas.microsoft.com/office/spreadsheetml/2009/9/main" objectType="Drop" dropStyle="combo" dx="16" fmlaLink="Annexes!$O$5" fmlaRange="Annexes!$I$4:$I$10" noThreeD="1" sel="1" val="0"/>
</file>

<file path=xl/ctrlProps/ctrlProp6.xml><?xml version="1.0" encoding="utf-8"?>
<formControlPr xmlns="http://schemas.microsoft.com/office/spreadsheetml/2009/9/main" objectType="Drop" dropStyle="combo" dx="16" fmlaLink="Annexes!$Q$5" fmlaRange="Annexes!$J$4:$J$35" noThreeD="1" sel="1" val="0"/>
</file>

<file path=xl/ctrlProps/ctrlProp7.xml><?xml version="1.0" encoding="utf-8"?>
<formControlPr xmlns="http://schemas.microsoft.com/office/spreadsheetml/2009/9/main" objectType="CheckBox" fmlaLink="Annexes!$M$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arcolib.fr/" TargetMode="External" /><Relationship Id="rId3" Type="http://schemas.openxmlformats.org/officeDocument/2006/relationships/hyperlink" Target="https://www.arcolib.fr/" TargetMode="External" /><Relationship Id="rId4" Type="http://schemas.openxmlformats.org/officeDocument/2006/relationships/image" Target="../media/image3.png" /><Relationship Id="rId5" Type="http://schemas.openxmlformats.org/officeDocument/2006/relationships/hyperlink" Target="mailto:documentation@arcolib.fr" TargetMode="External"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arcolib.fr/" TargetMode="External" /><Relationship Id="rId3" Type="http://schemas.openxmlformats.org/officeDocument/2006/relationships/hyperlink" Target="https://www.arcolib.fr/" TargetMode="External" /><Relationship Id="rId4" Type="http://schemas.openxmlformats.org/officeDocument/2006/relationships/image" Target="../media/image2.png" /><Relationship Id="rId5" Type="http://schemas.openxmlformats.org/officeDocument/2006/relationships/hyperlink" Target="https://www.impots.gouv.fr/portail/files/media/cabcom/covid19/fonds_soutien_pas_a_pas_tpe_v7.pd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arcolib.fr/" TargetMode="External" /><Relationship Id="rId3" Type="http://schemas.openxmlformats.org/officeDocument/2006/relationships/hyperlink" Target="https://www.arcolib.fr/" TargetMode="External" /><Relationship Id="rId4" Type="http://schemas.openxmlformats.org/officeDocument/2006/relationships/hyperlink" Target="https://www.arcolib.fr/" TargetMode="External" /><Relationship Id="rId5" Type="http://schemas.openxmlformats.org/officeDocument/2006/relationships/hyperlink" Target="https://www.arcolib.fr/" TargetMode="External" /><Relationship Id="rId6" Type="http://schemas.openxmlformats.org/officeDocument/2006/relationships/hyperlink" Target="https://www.arcolib.fr/" TargetMode="External" /><Relationship Id="rId7" Type="http://schemas.openxmlformats.org/officeDocument/2006/relationships/hyperlink" Target="https://www.arcolib.fr/" TargetMode="External" /><Relationship Id="rId8" Type="http://schemas.openxmlformats.org/officeDocument/2006/relationships/hyperlink" Target="https://www.arcolib.fr/" TargetMode="External" /><Relationship Id="rId9" Type="http://schemas.openxmlformats.org/officeDocument/2006/relationships/hyperlink" Target="https://www.arcolib.fr/" TargetMode="External" /><Relationship Id="rId10" Type="http://schemas.openxmlformats.org/officeDocument/2006/relationships/hyperlink" Target="https://www.arcolib.fr/" TargetMode="External" /><Relationship Id="rId11" Type="http://schemas.openxmlformats.org/officeDocument/2006/relationships/hyperlink" Target="https://www.arcolib.fr/" TargetMode="External" /><Relationship Id="rId12" Type="http://schemas.openxmlformats.org/officeDocument/2006/relationships/hyperlink" Target="https://www.arcolib.fr/" TargetMode="External" /><Relationship Id="rId13" Type="http://schemas.openxmlformats.org/officeDocument/2006/relationships/hyperlink" Target="https://www.arcolib.fr/"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38100</xdr:rowOff>
    </xdr:from>
    <xdr:to>
      <xdr:col>6</xdr:col>
      <xdr:colOff>219075</xdr:colOff>
      <xdr:row>6</xdr:row>
      <xdr:rowOff>161925</xdr:rowOff>
    </xdr:to>
    <xdr:pic>
      <xdr:nvPicPr>
        <xdr:cNvPr id="11" name="Image 10">
          <a:hlinkClick r:id="rId3"/>
        </xdr:cNvPr>
        <xdr:cNvPicPr preferRelativeResize="1">
          <a:picLocks noChangeAspect="1"/>
        </xdr:cNvPicPr>
      </xdr:nvPicPr>
      <xdr:blipFill>
        <a:blip r:embed="rId1"/>
        <a:stretch>
          <a:fillRect/>
        </a:stretch>
      </xdr:blipFill>
      <xdr:spPr>
        <a:xfrm>
          <a:off x="685800" y="238125"/>
          <a:ext cx="2257425" cy="1076325"/>
        </a:xfrm>
        <a:prstGeom prst="rect">
          <a:avLst/>
        </a:prstGeom>
        <a:ln>
          <a:noFill/>
        </a:ln>
      </xdr:spPr>
    </xdr:pic>
    <xdr:clientData/>
  </xdr:twoCellAnchor>
  <xdr:twoCellAnchor editAs="oneCell">
    <xdr:from>
      <xdr:col>19</xdr:col>
      <xdr:colOff>438150</xdr:colOff>
      <xdr:row>21</xdr:row>
      <xdr:rowOff>19050</xdr:rowOff>
    </xdr:from>
    <xdr:to>
      <xdr:col>24</xdr:col>
      <xdr:colOff>523875</xdr:colOff>
      <xdr:row>70</xdr:row>
      <xdr:rowOff>9525</xdr:rowOff>
    </xdr:to>
    <xdr:pic>
      <xdr:nvPicPr>
        <xdr:cNvPr id="12" name="Image 11"/>
        <xdr:cNvPicPr preferRelativeResize="1">
          <a:picLocks noChangeAspect="1"/>
        </xdr:cNvPicPr>
      </xdr:nvPicPr>
      <xdr:blipFill>
        <a:blip r:embed="rId4"/>
        <a:stretch>
          <a:fillRect/>
        </a:stretch>
      </xdr:blipFill>
      <xdr:spPr>
        <a:xfrm>
          <a:off x="10858500" y="4200525"/>
          <a:ext cx="4000500" cy="8715375"/>
        </a:xfrm>
        <a:prstGeom prst="rect">
          <a:avLst/>
        </a:prstGeom>
        <a:ln>
          <a:noFill/>
        </a:ln>
      </xdr:spPr>
    </xdr:pic>
    <xdr:clientData/>
  </xdr:twoCellAnchor>
  <xdr:twoCellAnchor>
    <xdr:from>
      <xdr:col>23</xdr:col>
      <xdr:colOff>285750</xdr:colOff>
      <xdr:row>19</xdr:row>
      <xdr:rowOff>9525</xdr:rowOff>
    </xdr:from>
    <xdr:to>
      <xdr:col>27</xdr:col>
      <xdr:colOff>476250</xdr:colOff>
      <xdr:row>24</xdr:row>
      <xdr:rowOff>38100</xdr:rowOff>
    </xdr:to>
    <xdr:sp macro="" textlink="">
      <xdr:nvSpPr>
        <xdr:cNvPr id="16" name="Bulle ronde 15">
          <a:hlinkClick r:id="rId5"/>
        </xdr:cNvPr>
        <xdr:cNvSpPr/>
      </xdr:nvSpPr>
      <xdr:spPr>
        <a:xfrm>
          <a:off x="13906500" y="3790950"/>
          <a:ext cx="2838450" cy="1019175"/>
        </a:xfrm>
        <a:prstGeom prst="wedgeEllipseCallout">
          <a:avLst>
            <a:gd name="adj1" fmla="val -49271"/>
            <a:gd name="adj2" fmla="val 65928"/>
          </a:avLst>
        </a:prstGeom>
        <a:solidFill>
          <a:srgbClr val="0D4174"/>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361950</xdr:colOff>
      <xdr:row>19</xdr:row>
      <xdr:rowOff>133350</xdr:rowOff>
    </xdr:from>
    <xdr:to>
      <xdr:col>1</xdr:col>
      <xdr:colOff>438150</xdr:colOff>
      <xdr:row>37</xdr:row>
      <xdr:rowOff>38100</xdr:rowOff>
    </xdr:to>
    <xdr:sp macro="" textlink="">
      <xdr:nvSpPr>
        <xdr:cNvPr id="2" name="Accolade ouvrante 1"/>
        <xdr:cNvSpPr/>
      </xdr:nvSpPr>
      <xdr:spPr>
        <a:xfrm>
          <a:off x="971550" y="3914775"/>
          <a:ext cx="76200" cy="2305050"/>
        </a:xfrm>
        <a:prstGeom prst="leftBrace">
          <a:avLst/>
        </a:prstGeom>
        <a:ln>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19</xdr:row>
      <xdr:rowOff>180975</xdr:rowOff>
    </xdr:from>
    <xdr:to>
      <xdr:col>1</xdr:col>
      <xdr:colOff>457200</xdr:colOff>
      <xdr:row>22</xdr:row>
      <xdr:rowOff>114300</xdr:rowOff>
    </xdr:to>
    <xdr:pic>
      <xdr:nvPicPr>
        <xdr:cNvPr id="4" name="Image 3"/>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0" y="3962400"/>
          <a:ext cx="1066800" cy="533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4</xdr:col>
      <xdr:colOff>381000</xdr:colOff>
      <xdr:row>6</xdr:row>
      <xdr:rowOff>28575</xdr:rowOff>
    </xdr:to>
    <xdr:pic>
      <xdr:nvPicPr>
        <xdr:cNvPr id="2" name="Image 1">
          <a:hlinkClick r:id="rId3"/>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31</xdr:col>
      <xdr:colOff>114300</xdr:colOff>
      <xdr:row>1</xdr:row>
      <xdr:rowOff>28575</xdr:rowOff>
    </xdr:from>
    <xdr:to>
      <xdr:col>38</xdr:col>
      <xdr:colOff>257175</xdr:colOff>
      <xdr:row>118</xdr:row>
      <xdr:rowOff>47625</xdr:rowOff>
    </xdr:to>
    <xdr:pic>
      <xdr:nvPicPr>
        <xdr:cNvPr id="6" name="Image 5"/>
        <xdr:cNvPicPr preferRelativeResize="1">
          <a:picLocks noChangeAspect="1"/>
        </xdr:cNvPicPr>
      </xdr:nvPicPr>
      <xdr:blipFill>
        <a:blip r:embed="rId4"/>
        <a:stretch>
          <a:fillRect/>
        </a:stretch>
      </xdr:blipFill>
      <xdr:spPr>
        <a:xfrm>
          <a:off x="12039600" y="219075"/>
          <a:ext cx="5476875" cy="8648700"/>
        </a:xfrm>
        <a:prstGeom prst="rect">
          <a:avLst/>
        </a:prstGeom>
        <a:ln>
          <a:noFill/>
        </a:ln>
      </xdr:spPr>
    </xdr:pic>
    <xdr:clientData/>
  </xdr:twoCellAnchor>
  <xdr:twoCellAnchor>
    <xdr:from>
      <xdr:col>16</xdr:col>
      <xdr:colOff>466725</xdr:colOff>
      <xdr:row>5</xdr:row>
      <xdr:rowOff>28575</xdr:rowOff>
    </xdr:from>
    <xdr:to>
      <xdr:col>32</xdr:col>
      <xdr:colOff>200025</xdr:colOff>
      <xdr:row>12</xdr:row>
      <xdr:rowOff>9525</xdr:rowOff>
    </xdr:to>
    <xdr:sp macro="" textlink="">
      <xdr:nvSpPr>
        <xdr:cNvPr id="8" name="Bulle ronde 7">
          <a:hlinkClick r:id="rId5"/>
        </xdr:cNvPr>
        <xdr:cNvSpPr/>
      </xdr:nvSpPr>
      <xdr:spPr>
        <a:xfrm>
          <a:off x="10363200" y="981075"/>
          <a:ext cx="2524125" cy="1333500"/>
        </a:xfrm>
        <a:prstGeom prst="wedgeEllipseCallout">
          <a:avLst>
            <a:gd name="adj1" fmla="val 47709"/>
            <a:gd name="adj2" fmla="val 51909"/>
          </a:avLst>
        </a:prstGeom>
        <a:solidFill>
          <a:srgbClr val="C00000"/>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4</xdr:col>
      <xdr:colOff>381000</xdr:colOff>
      <xdr:row>6</xdr:row>
      <xdr:rowOff>28575</xdr:rowOff>
    </xdr:to>
    <xdr:pic>
      <xdr:nvPicPr>
        <xdr:cNvPr id="2" name="Image 1">
          <a:hlinkClick r:id="rId3"/>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0</xdr:col>
      <xdr:colOff>314325</xdr:colOff>
      <xdr:row>0</xdr:row>
      <xdr:rowOff>95250</xdr:rowOff>
    </xdr:from>
    <xdr:to>
      <xdr:col>4</xdr:col>
      <xdr:colOff>381000</xdr:colOff>
      <xdr:row>6</xdr:row>
      <xdr:rowOff>28575</xdr:rowOff>
    </xdr:to>
    <xdr:pic>
      <xdr:nvPicPr>
        <xdr:cNvPr id="3" name="Image 2">
          <a:hlinkClick r:id="rId5"/>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0</xdr:col>
      <xdr:colOff>314325</xdr:colOff>
      <xdr:row>0</xdr:row>
      <xdr:rowOff>95250</xdr:rowOff>
    </xdr:from>
    <xdr:to>
      <xdr:col>4</xdr:col>
      <xdr:colOff>381000</xdr:colOff>
      <xdr:row>6</xdr:row>
      <xdr:rowOff>28575</xdr:rowOff>
    </xdr:to>
    <xdr:pic>
      <xdr:nvPicPr>
        <xdr:cNvPr id="6" name="Image 5">
          <a:hlinkClick r:id="rId7"/>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0</xdr:col>
      <xdr:colOff>314325</xdr:colOff>
      <xdr:row>0</xdr:row>
      <xdr:rowOff>95250</xdr:rowOff>
    </xdr:from>
    <xdr:to>
      <xdr:col>4</xdr:col>
      <xdr:colOff>381000</xdr:colOff>
      <xdr:row>6</xdr:row>
      <xdr:rowOff>28575</xdr:rowOff>
    </xdr:to>
    <xdr:pic>
      <xdr:nvPicPr>
        <xdr:cNvPr id="5" name="Image 4">
          <a:hlinkClick r:id="rId9"/>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0</xdr:col>
      <xdr:colOff>314325</xdr:colOff>
      <xdr:row>0</xdr:row>
      <xdr:rowOff>95250</xdr:rowOff>
    </xdr:from>
    <xdr:to>
      <xdr:col>4</xdr:col>
      <xdr:colOff>381000</xdr:colOff>
      <xdr:row>6</xdr:row>
      <xdr:rowOff>28575</xdr:rowOff>
    </xdr:to>
    <xdr:pic>
      <xdr:nvPicPr>
        <xdr:cNvPr id="9" name="Image 8">
          <a:hlinkClick r:id="rId11"/>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twoCellAnchor editAs="oneCell">
    <xdr:from>
      <xdr:col>0</xdr:col>
      <xdr:colOff>314325</xdr:colOff>
      <xdr:row>0</xdr:row>
      <xdr:rowOff>95250</xdr:rowOff>
    </xdr:from>
    <xdr:to>
      <xdr:col>4</xdr:col>
      <xdr:colOff>381000</xdr:colOff>
      <xdr:row>6</xdr:row>
      <xdr:rowOff>28575</xdr:rowOff>
    </xdr:to>
    <xdr:pic>
      <xdr:nvPicPr>
        <xdr:cNvPr id="12" name="Image 11">
          <a:hlinkClick r:id="rId13"/>
        </xdr:cNvPr>
        <xdr:cNvPicPr preferRelativeResize="1">
          <a:picLocks noChangeAspect="1"/>
        </xdr:cNvPicPr>
      </xdr:nvPicPr>
      <xdr:blipFill>
        <a:blip r:embed="rId1"/>
        <a:stretch>
          <a:fillRect/>
        </a:stretch>
      </xdr:blipFill>
      <xdr:spPr>
        <a:xfrm>
          <a:off x="314325" y="95250"/>
          <a:ext cx="2257425" cy="1076325"/>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4.xml" /><Relationship Id="rId10" Type="http://schemas.openxmlformats.org/officeDocument/2006/relationships/ctrlProp" Target="../ctrlProps/ctrlProp2.xml" /><Relationship Id="rId9" Type="http://schemas.openxmlformats.org/officeDocument/2006/relationships/ctrlProp" Target="../ctrlProps/ctrlProp1.xml" /><Relationship Id="rId13" Type="http://schemas.openxmlformats.org/officeDocument/2006/relationships/ctrlProp" Target="../ctrlProps/ctrlProp5.xml" /><Relationship Id="rId15" Type="http://schemas.openxmlformats.org/officeDocument/2006/relationships/ctrlProp" Target="../ctrlProps/ctrlProp7.xml" /><Relationship Id="rId14" Type="http://schemas.openxmlformats.org/officeDocument/2006/relationships/ctrlProp" Target="../ctrlProps/ctrlProp6.xml" /><Relationship Id="rId11" Type="http://schemas.openxmlformats.org/officeDocument/2006/relationships/ctrlProp" Target="../ctrlProps/ctrlProp3.xml" /><Relationship Id="rId1" Type="http://schemas.openxmlformats.org/officeDocument/2006/relationships/hyperlink" Target="https://www.arcolib.fr/sites/default/files/fichiersbasedoc/RESUME_Decret_2020_1328_02112020.pdf" TargetMode="External" /><Relationship Id="rId2" Type="http://schemas.openxmlformats.org/officeDocument/2006/relationships/hyperlink" Target="https://www.arcolib.fr/content/second-confinement-national-nouvelles-mesures-exceptionnelles-du-fonds-de-solidarit&#233;" TargetMode="External" /><Relationship Id="rId3" Type="http://schemas.openxmlformats.org/officeDocument/2006/relationships/hyperlink" Target="https://www.legifrance.gouv.fr/jorf/id/JORFTEXT000042486721" TargetMode="External" /><Relationship Id="rId4" Type="http://schemas.openxmlformats.org/officeDocument/2006/relationships/hyperlink" Target="https://www.legifrance.gouv.fr/jorf/id/JORFTEXT000042475143" TargetMode="External" /><Relationship Id="rId5" Type="http://schemas.openxmlformats.org/officeDocument/2006/relationships/hyperlink" Target="https://www.arcolib.fr/sites/default/files/fichiersbasedoc/RESUME_Decret_2020_1328_02112020.pdf" TargetMode="Externa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www.legifrance.gouv.fr/affichCodeArticle.do?cidTexte=LEGITEXT000006072050&amp;idArticle=LEGIARTI000006902603&amp;dateTexte=&amp;categorieLien=cid" TargetMode="External" /><Relationship Id="rId2" Type="http://schemas.openxmlformats.org/officeDocument/2006/relationships/hyperlink" Target="https://www.legifrance.gouv.fr/affichTexte.do?cidTexte=JORFTEXT000000607662&amp;categorieLien=cid"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A1:AC141"/>
  <sheetViews>
    <sheetView showGridLines="0" tabSelected="1" workbookViewId="0" topLeftCell="A1">
      <selection activeCell="K2" sqref="K2:P4"/>
    </sheetView>
  </sheetViews>
  <sheetFormatPr defaultColWidth="9.140625" defaultRowHeight="15"/>
  <cols>
    <col min="2" max="2" width="7.7109375" style="0" customWidth="1"/>
    <col min="3" max="4" width="2.8515625" style="0" customWidth="1"/>
    <col min="9" max="9" width="14.28125" style="0" bestFit="1" customWidth="1"/>
    <col min="10" max="10" width="11.8515625" style="0" bestFit="1" customWidth="1"/>
    <col min="13" max="13" width="12.8515625" style="0" bestFit="1" customWidth="1"/>
    <col min="14" max="14" width="3.8515625" style="0" customWidth="1"/>
    <col min="15" max="15" width="4.140625" style="0" customWidth="1"/>
    <col min="16" max="16" width="12.8515625" style="0" bestFit="1" customWidth="1"/>
    <col min="17" max="17" width="2.57421875" style="0" customWidth="1"/>
    <col min="18" max="18" width="12.140625" style="0" customWidth="1"/>
    <col min="19" max="19" width="4.28125" style="0" customWidth="1"/>
    <col min="20" max="20" width="23.28125" style="0" customWidth="1"/>
    <col min="21" max="21" width="11.7109375" style="0" customWidth="1"/>
    <col min="22" max="22" width="2.28125" style="0" customWidth="1"/>
    <col min="23" max="25" width="10.7109375" style="0" bestFit="1" customWidth="1"/>
  </cols>
  <sheetData>
    <row r="1" spans="2:16" ht="15.75" thickBot="1">
      <c r="B1" s="51"/>
      <c r="C1" s="51"/>
      <c r="D1" s="51"/>
      <c r="E1" s="51"/>
      <c r="F1" s="51"/>
      <c r="G1" s="51"/>
      <c r="H1" s="51"/>
      <c r="I1" s="51"/>
      <c r="J1" s="51"/>
      <c r="K1" s="51"/>
      <c r="L1" s="51"/>
      <c r="M1" s="51"/>
      <c r="N1" s="51"/>
      <c r="O1" s="51"/>
      <c r="P1" s="51"/>
    </row>
    <row r="2" spans="2:22" ht="15" customHeight="1">
      <c r="B2" s="51"/>
      <c r="C2" s="51"/>
      <c r="D2" s="51"/>
      <c r="E2" s="51"/>
      <c r="F2" s="51"/>
      <c r="G2" s="51"/>
      <c r="H2" s="200" t="s">
        <v>105</v>
      </c>
      <c r="I2" s="201"/>
      <c r="J2" s="202"/>
      <c r="K2" s="209"/>
      <c r="L2" s="210"/>
      <c r="M2" s="210"/>
      <c r="N2" s="210"/>
      <c r="O2" s="210"/>
      <c r="P2" s="211"/>
      <c r="S2" s="200" t="s">
        <v>192</v>
      </c>
      <c r="T2" s="201"/>
      <c r="U2" s="201"/>
      <c r="V2" s="202"/>
    </row>
    <row r="3" spans="2:22" ht="15" customHeight="1">
      <c r="B3" s="51"/>
      <c r="C3" s="51"/>
      <c r="D3" s="51"/>
      <c r="E3" s="51"/>
      <c r="F3" s="51"/>
      <c r="G3" s="51"/>
      <c r="H3" s="203"/>
      <c r="I3" s="204"/>
      <c r="J3" s="205"/>
      <c r="K3" s="212"/>
      <c r="L3" s="213"/>
      <c r="M3" s="213"/>
      <c r="N3" s="213"/>
      <c r="O3" s="213"/>
      <c r="P3" s="214"/>
      <c r="S3" s="203"/>
      <c r="T3" s="204"/>
      <c r="U3" s="204"/>
      <c r="V3" s="205"/>
    </row>
    <row r="4" spans="2:22" ht="15" customHeight="1" thickBot="1">
      <c r="B4" s="51"/>
      <c r="C4" s="51"/>
      <c r="D4" s="51"/>
      <c r="E4" s="51"/>
      <c r="F4" s="51"/>
      <c r="G4" s="51"/>
      <c r="H4" s="206"/>
      <c r="I4" s="207"/>
      <c r="J4" s="208"/>
      <c r="K4" s="215"/>
      <c r="L4" s="216"/>
      <c r="M4" s="216"/>
      <c r="N4" s="216"/>
      <c r="O4" s="216"/>
      <c r="P4" s="217"/>
      <c r="S4" s="104"/>
      <c r="T4" s="173" t="s">
        <v>207</v>
      </c>
      <c r="U4" s="174"/>
      <c r="V4" s="103"/>
    </row>
    <row r="5" spans="2:22" ht="15" customHeight="1" thickBot="1">
      <c r="B5" s="51"/>
      <c r="C5" s="51"/>
      <c r="D5" s="51"/>
      <c r="E5" s="51"/>
      <c r="F5" s="51"/>
      <c r="G5" s="51"/>
      <c r="H5" s="52"/>
      <c r="I5" s="52"/>
      <c r="J5" s="52"/>
      <c r="K5" s="53"/>
      <c r="L5" s="53"/>
      <c r="M5" s="53"/>
      <c r="N5" s="53"/>
      <c r="O5" s="53"/>
      <c r="P5" s="53"/>
      <c r="S5" s="104"/>
      <c r="T5" s="240" t="s">
        <v>129</v>
      </c>
      <c r="U5" s="240"/>
      <c r="V5" s="103"/>
    </row>
    <row r="6" spans="2:22" ht="15" customHeight="1" thickBot="1">
      <c r="B6" s="51"/>
      <c r="C6" s="51"/>
      <c r="D6" s="51"/>
      <c r="E6" s="51"/>
      <c r="F6" s="51"/>
      <c r="G6" s="51"/>
      <c r="H6" s="223" t="s">
        <v>208</v>
      </c>
      <c r="I6" s="224"/>
      <c r="J6" s="225"/>
      <c r="K6" s="221"/>
      <c r="L6" s="226"/>
      <c r="M6" s="226"/>
      <c r="N6" s="226"/>
      <c r="O6" s="226"/>
      <c r="P6" s="227"/>
      <c r="S6" s="104"/>
      <c r="T6" s="240"/>
      <c r="U6" s="240"/>
      <c r="V6" s="103"/>
    </row>
    <row r="7" spans="2:22" ht="15.75" thickBot="1">
      <c r="B7" s="51"/>
      <c r="C7" s="51"/>
      <c r="D7" s="51"/>
      <c r="E7" s="51"/>
      <c r="F7" s="51"/>
      <c r="G7" s="51"/>
      <c r="H7" s="51"/>
      <c r="I7" s="51"/>
      <c r="J7" s="51"/>
      <c r="K7" s="51"/>
      <c r="L7" s="51"/>
      <c r="M7" s="51"/>
      <c r="N7" s="51"/>
      <c r="O7" s="51"/>
      <c r="P7" s="51"/>
      <c r="S7" s="105"/>
      <c r="T7" s="106"/>
      <c r="U7" s="106"/>
      <c r="V7" s="107"/>
    </row>
    <row r="8" spans="2:16" ht="15.75" thickBot="1">
      <c r="B8" s="51"/>
      <c r="C8" s="51"/>
      <c r="D8" s="51"/>
      <c r="E8" s="51"/>
      <c r="F8" s="51"/>
      <c r="G8" s="51"/>
      <c r="H8" s="218" t="s">
        <v>106</v>
      </c>
      <c r="I8" s="219"/>
      <c r="J8" s="220"/>
      <c r="K8" s="221"/>
      <c r="L8" s="222"/>
      <c r="M8" s="234" t="s">
        <v>193</v>
      </c>
      <c r="N8" s="235"/>
      <c r="O8" s="235"/>
      <c r="P8" s="235"/>
    </row>
    <row r="9" spans="2:22" ht="23.25" customHeight="1" thickBot="1">
      <c r="B9" s="51"/>
      <c r="C9" s="51"/>
      <c r="D9" s="51"/>
      <c r="E9" s="51"/>
      <c r="F9" s="51"/>
      <c r="G9" s="51"/>
      <c r="H9" s="54"/>
      <c r="I9" s="51"/>
      <c r="J9" s="51"/>
      <c r="K9" s="51"/>
      <c r="L9" s="51"/>
      <c r="M9" s="51"/>
      <c r="N9" s="51"/>
      <c r="O9" s="51"/>
      <c r="P9" s="51"/>
      <c r="S9" s="189" t="s">
        <v>224</v>
      </c>
      <c r="T9" s="189"/>
      <c r="U9" s="189"/>
      <c r="V9" s="189"/>
    </row>
    <row r="10" spans="2:22" ht="15" customHeight="1">
      <c r="B10" s="230" t="s">
        <v>188</v>
      </c>
      <c r="C10" s="231"/>
      <c r="D10" s="231"/>
      <c r="E10" s="231"/>
      <c r="F10" s="231"/>
      <c r="G10" s="184" t="s">
        <v>201</v>
      </c>
      <c r="H10" s="185"/>
      <c r="I10" s="185"/>
      <c r="J10" s="185"/>
      <c r="K10" s="185"/>
      <c r="L10" s="186"/>
      <c r="M10" s="113"/>
      <c r="N10" s="113"/>
      <c r="O10" s="113"/>
      <c r="P10" s="113"/>
      <c r="S10" s="189"/>
      <c r="T10" s="189"/>
      <c r="U10" s="189"/>
      <c r="V10" s="189"/>
    </row>
    <row r="11" spans="2:22" ht="15" customHeight="1" thickBot="1">
      <c r="B11" s="232"/>
      <c r="C11" s="233"/>
      <c r="D11" s="233"/>
      <c r="E11" s="233"/>
      <c r="F11" s="233"/>
      <c r="G11" s="236" t="s">
        <v>187</v>
      </c>
      <c r="H11" s="237"/>
      <c r="I11" s="237"/>
      <c r="J11" s="237"/>
      <c r="K11" s="237"/>
      <c r="L11" s="238"/>
      <c r="M11" s="113"/>
      <c r="N11" s="113"/>
      <c r="O11" s="113"/>
      <c r="P11" s="113"/>
      <c r="S11" s="135"/>
      <c r="T11" s="187" t="s">
        <v>222</v>
      </c>
      <c r="U11" s="188"/>
      <c r="V11" s="135"/>
    </row>
    <row r="12" spans="2:25" ht="15" customHeight="1">
      <c r="B12" s="123"/>
      <c r="C12" s="123"/>
      <c r="D12" s="123"/>
      <c r="E12" s="123"/>
      <c r="F12" s="123"/>
      <c r="G12" s="118"/>
      <c r="H12" s="118"/>
      <c r="I12" s="118"/>
      <c r="J12" s="118"/>
      <c r="K12" s="118"/>
      <c r="L12" s="118"/>
      <c r="M12" s="113"/>
      <c r="N12" s="113"/>
      <c r="O12" s="113"/>
      <c r="P12" s="113"/>
      <c r="S12" s="128"/>
      <c r="T12" s="188"/>
      <c r="U12" s="188"/>
      <c r="V12" s="128"/>
      <c r="W12" s="121"/>
      <c r="X12" s="121"/>
      <c r="Y12" s="121"/>
    </row>
    <row r="13" spans="2:25" ht="15" customHeight="1">
      <c r="B13" s="119"/>
      <c r="C13" s="119"/>
      <c r="D13" s="119"/>
      <c r="E13" s="119"/>
      <c r="F13" s="119"/>
      <c r="G13" s="118"/>
      <c r="H13" s="118"/>
      <c r="I13" s="118"/>
      <c r="J13" s="118"/>
      <c r="K13" s="118"/>
      <c r="L13" s="118"/>
      <c r="M13" s="113"/>
      <c r="N13" s="113"/>
      <c r="O13" s="113"/>
      <c r="P13" s="113"/>
      <c r="S13" s="128"/>
      <c r="T13" s="187" t="s">
        <v>219</v>
      </c>
      <c r="U13" s="187"/>
      <c r="V13" s="128"/>
      <c r="W13" s="121"/>
      <c r="X13" s="121"/>
      <c r="Y13" s="121"/>
    </row>
    <row r="14" spans="2:22" ht="15" customHeight="1">
      <c r="B14" s="78" t="s">
        <v>205</v>
      </c>
      <c r="C14" s="51"/>
      <c r="D14" s="51"/>
      <c r="E14" s="51"/>
      <c r="F14" s="51"/>
      <c r="G14" s="51"/>
      <c r="H14" s="54"/>
      <c r="I14" s="51"/>
      <c r="J14" s="51"/>
      <c r="K14" s="51"/>
      <c r="L14" s="51"/>
      <c r="M14" s="51"/>
      <c r="N14" s="51"/>
      <c r="O14" s="51"/>
      <c r="P14" s="51"/>
      <c r="S14" s="128"/>
      <c r="T14" s="187"/>
      <c r="U14" s="187"/>
      <c r="V14" s="128"/>
    </row>
    <row r="15" spans="2:22" ht="15" customHeight="1">
      <c r="B15" s="191" t="s">
        <v>210</v>
      </c>
      <c r="C15" s="191"/>
      <c r="D15" s="191"/>
      <c r="E15" s="191"/>
      <c r="F15" s="191"/>
      <c r="G15" s="191"/>
      <c r="H15" s="51"/>
      <c r="I15" s="51"/>
      <c r="J15" s="51"/>
      <c r="K15" s="51"/>
      <c r="L15" s="51"/>
      <c r="M15" s="51"/>
      <c r="N15" s="51"/>
      <c r="O15" s="51"/>
      <c r="P15" s="51"/>
      <c r="Q15" s="50"/>
      <c r="R15" s="50"/>
      <c r="S15" s="128"/>
      <c r="T15" s="187"/>
      <c r="U15" s="187"/>
      <c r="V15" s="128"/>
    </row>
    <row r="16" spans="2:23" ht="15" customHeight="1">
      <c r="B16" s="51"/>
      <c r="C16" s="51"/>
      <c r="D16" s="51"/>
      <c r="E16" s="51"/>
      <c r="F16" s="51"/>
      <c r="G16" s="51"/>
      <c r="H16" s="51"/>
      <c r="I16" s="51"/>
      <c r="J16" s="51"/>
      <c r="K16" s="51"/>
      <c r="L16" s="51"/>
      <c r="M16" s="51"/>
      <c r="N16" s="51"/>
      <c r="O16" s="51"/>
      <c r="P16" s="51"/>
      <c r="Q16" s="50"/>
      <c r="R16" s="124"/>
      <c r="S16" s="128"/>
      <c r="T16" s="187" t="s">
        <v>223</v>
      </c>
      <c r="U16" s="187"/>
      <c r="V16" s="127"/>
      <c r="W16" s="5"/>
    </row>
    <row r="17" spans="2:22" ht="15.75" customHeight="1">
      <c r="B17" s="191" t="s">
        <v>209</v>
      </c>
      <c r="C17" s="191"/>
      <c r="D17" s="191"/>
      <c r="E17" s="191"/>
      <c r="F17" s="191"/>
      <c r="G17" s="191"/>
      <c r="H17" s="51"/>
      <c r="I17" s="51"/>
      <c r="J17" s="51"/>
      <c r="K17" s="51"/>
      <c r="L17" s="51"/>
      <c r="M17" s="51"/>
      <c r="N17" s="51"/>
      <c r="O17" s="51"/>
      <c r="P17" s="51"/>
      <c r="Q17" s="39"/>
      <c r="R17" s="39"/>
      <c r="S17" s="127"/>
      <c r="T17" s="187"/>
      <c r="U17" s="187"/>
      <c r="V17" s="127"/>
    </row>
    <row r="18" spans="2:22" ht="15.75">
      <c r="B18" s="51"/>
      <c r="C18" s="51"/>
      <c r="D18" s="51"/>
      <c r="E18" s="229" t="s">
        <v>212</v>
      </c>
      <c r="F18" s="229"/>
      <c r="G18" s="229"/>
      <c r="H18" s="229"/>
      <c r="I18" s="229"/>
      <c r="J18" s="229"/>
      <c r="K18" s="229"/>
      <c r="L18" s="229"/>
      <c r="M18" s="229"/>
      <c r="N18" s="229"/>
      <c r="O18" s="229"/>
      <c r="P18" s="51"/>
      <c r="S18" s="127"/>
      <c r="T18" s="187"/>
      <c r="U18" s="187"/>
      <c r="V18" s="127"/>
    </row>
    <row r="19" spans="2:22" ht="15.75" customHeight="1">
      <c r="B19" s="51"/>
      <c r="C19" s="51"/>
      <c r="D19" s="51"/>
      <c r="E19" s="229" t="str">
        <f>IF(AND(Annexes!F5&gt;1,Annexes!F7&gt;1),"Veuillez-vous assurer qu'il n'y ait qu'une seule activité de sélectionnée entre l'annexe 1 et 2","")</f>
        <v/>
      </c>
      <c r="F19" s="229"/>
      <c r="G19" s="229"/>
      <c r="H19" s="229"/>
      <c r="I19" s="229"/>
      <c r="J19" s="229"/>
      <c r="K19" s="229"/>
      <c r="L19" s="229"/>
      <c r="M19" s="229"/>
      <c r="N19" s="229"/>
      <c r="O19" s="229"/>
      <c r="P19" s="51"/>
      <c r="S19" s="127"/>
      <c r="T19" s="187" t="s">
        <v>228</v>
      </c>
      <c r="U19" s="187"/>
      <c r="V19" s="127"/>
    </row>
    <row r="20" spans="2:22" ht="15.75">
      <c r="B20" s="51"/>
      <c r="C20" s="51"/>
      <c r="D20" s="51"/>
      <c r="E20" s="51"/>
      <c r="F20" s="51"/>
      <c r="G20" s="51"/>
      <c r="H20" s="51"/>
      <c r="I20" s="51"/>
      <c r="J20" s="51"/>
      <c r="K20" s="51"/>
      <c r="L20" s="51"/>
      <c r="M20" s="51"/>
      <c r="N20" s="51"/>
      <c r="O20" s="51"/>
      <c r="P20" s="51"/>
      <c r="S20" s="127"/>
      <c r="T20" s="187"/>
      <c r="U20" s="187"/>
      <c r="V20" s="127"/>
    </row>
    <row r="21" spans="2:22" ht="15.75">
      <c r="B21" s="51"/>
      <c r="C21" s="51"/>
      <c r="D21" s="51"/>
      <c r="E21" s="228" t="s">
        <v>211</v>
      </c>
      <c r="F21" s="228"/>
      <c r="G21" s="228"/>
      <c r="H21" s="228"/>
      <c r="I21" s="228"/>
      <c r="J21" s="228"/>
      <c r="K21" s="228"/>
      <c r="L21" s="51"/>
      <c r="M21" s="51"/>
      <c r="N21" s="51"/>
      <c r="O21" s="51"/>
      <c r="P21" s="51"/>
      <c r="S21" s="127"/>
      <c r="T21" s="187"/>
      <c r="U21" s="187"/>
      <c r="V21" s="127"/>
    </row>
    <row r="22" spans="2:22" ht="15.75">
      <c r="B22" s="51"/>
      <c r="C22" s="51"/>
      <c r="D22" s="51"/>
      <c r="E22" s="51"/>
      <c r="F22" s="51"/>
      <c r="G22" s="51"/>
      <c r="H22" s="51"/>
      <c r="I22" s="55"/>
      <c r="J22" s="51"/>
      <c r="K22" s="51"/>
      <c r="L22" s="51"/>
      <c r="M22" s="51"/>
      <c r="N22" s="51"/>
      <c r="O22" s="51"/>
      <c r="P22" s="51"/>
      <c r="S22" s="5"/>
      <c r="T22" s="114"/>
      <c r="U22" s="114"/>
      <c r="V22" s="114"/>
    </row>
    <row r="23" spans="2:22" ht="15.75">
      <c r="B23" s="51"/>
      <c r="C23" s="51"/>
      <c r="D23" s="51"/>
      <c r="E23" s="51"/>
      <c r="F23" s="51"/>
      <c r="G23" s="51"/>
      <c r="H23" s="121"/>
      <c r="I23" s="51"/>
      <c r="J23" s="51"/>
      <c r="K23" s="51"/>
      <c r="L23" s="51"/>
      <c r="M23" s="51"/>
      <c r="N23" s="51"/>
      <c r="O23" s="51"/>
      <c r="P23" s="51"/>
      <c r="S23" s="115"/>
      <c r="T23" s="115"/>
      <c r="U23" s="116"/>
      <c r="V23" s="117"/>
    </row>
    <row r="24" spans="1:21" ht="15">
      <c r="A24" s="120" t="s">
        <v>196</v>
      </c>
      <c r="B24" s="51"/>
      <c r="C24" s="84"/>
      <c r="D24" s="51"/>
      <c r="E24" s="183" t="s">
        <v>218</v>
      </c>
      <c r="F24" s="183"/>
      <c r="G24" s="183"/>
      <c r="H24" s="183"/>
      <c r="I24" s="183"/>
      <c r="J24" s="183"/>
      <c r="K24" s="55"/>
      <c r="L24" s="55"/>
      <c r="M24" s="55"/>
      <c r="N24" s="55"/>
      <c r="O24" s="55"/>
      <c r="P24" s="55"/>
      <c r="Q24" s="1"/>
      <c r="U24" s="1"/>
    </row>
    <row r="25" spans="1:21" ht="7.5" customHeight="1">
      <c r="A25" s="120"/>
      <c r="B25" s="85"/>
      <c r="C25" s="55"/>
      <c r="D25" s="55"/>
      <c r="E25" s="56"/>
      <c r="F25" s="56"/>
      <c r="G25" s="56"/>
      <c r="H25" s="56"/>
      <c r="I25" s="56"/>
      <c r="J25" s="108"/>
      <c r="K25" s="91"/>
      <c r="L25" s="91"/>
      <c r="M25" s="91"/>
      <c r="N25" s="91"/>
      <c r="O25" s="91"/>
      <c r="P25" s="91"/>
      <c r="Q25" s="92"/>
      <c r="U25" s="1"/>
    </row>
    <row r="26" spans="1:21" ht="15">
      <c r="A26" s="120" t="s">
        <v>197</v>
      </c>
      <c r="B26" s="85"/>
      <c r="C26" s="55"/>
      <c r="D26" s="55"/>
      <c r="E26" s="56"/>
      <c r="F26" s="56"/>
      <c r="G26" s="56"/>
      <c r="H26" s="56"/>
      <c r="I26" s="56"/>
      <c r="J26" s="56"/>
      <c r="K26" s="51"/>
      <c r="L26" s="51"/>
      <c r="M26" s="109" t="s">
        <v>101</v>
      </c>
      <c r="N26" s="59"/>
      <c r="O26" s="60"/>
      <c r="P26" s="109" t="s">
        <v>102</v>
      </c>
      <c r="Q26" s="90"/>
      <c r="U26" s="1"/>
    </row>
    <row r="27" spans="1:21" ht="6.75" customHeight="1">
      <c r="A27" s="120"/>
      <c r="B27" s="85"/>
      <c r="C27" s="55"/>
      <c r="D27" s="55"/>
      <c r="E27" s="51"/>
      <c r="F27" s="51"/>
      <c r="G27" s="51"/>
      <c r="H27" s="51"/>
      <c r="I27" s="51"/>
      <c r="J27" s="51"/>
      <c r="K27" s="51"/>
      <c r="L27" s="51"/>
      <c r="M27" s="51"/>
      <c r="N27" s="51"/>
      <c r="O27" s="55"/>
      <c r="P27" s="51"/>
      <c r="Q27" s="90"/>
      <c r="R27" s="1"/>
      <c r="U27" s="1"/>
    </row>
    <row r="28" spans="1:21" ht="15">
      <c r="A28" s="120" t="s">
        <v>198</v>
      </c>
      <c r="B28" s="85"/>
      <c r="C28" s="55"/>
      <c r="D28" s="55"/>
      <c r="E28" s="98" t="s">
        <v>202</v>
      </c>
      <c r="F28" s="51"/>
      <c r="G28" s="51"/>
      <c r="H28" s="51"/>
      <c r="I28" s="51"/>
      <c r="J28" s="51"/>
      <c r="K28" s="51"/>
      <c r="L28" s="51"/>
      <c r="M28" s="51"/>
      <c r="N28" s="51"/>
      <c r="O28" s="55"/>
      <c r="P28" s="51"/>
      <c r="Q28" s="90"/>
      <c r="R28" s="1"/>
      <c r="U28" s="1"/>
    </row>
    <row r="29" spans="1:21" ht="15">
      <c r="A29" s="120" t="s">
        <v>199</v>
      </c>
      <c r="B29" s="85"/>
      <c r="C29" s="55"/>
      <c r="D29" s="55"/>
      <c r="E29" s="51"/>
      <c r="F29" s="51"/>
      <c r="G29" s="51"/>
      <c r="H29" s="51"/>
      <c r="I29" s="51"/>
      <c r="J29" s="51"/>
      <c r="K29" s="61"/>
      <c r="L29" s="51"/>
      <c r="M29" s="51"/>
      <c r="N29" s="55"/>
      <c r="O29" s="55"/>
      <c r="P29" s="51"/>
      <c r="Q29" s="90"/>
      <c r="U29" s="1"/>
    </row>
    <row r="30" spans="1:29" ht="15" hidden="1">
      <c r="A30" s="120"/>
      <c r="B30" s="85"/>
      <c r="C30" s="55"/>
      <c r="D30" s="55"/>
      <c r="E30" s="51"/>
      <c r="F30" s="51"/>
      <c r="G30" s="51"/>
      <c r="H30" s="51"/>
      <c r="I30" s="51"/>
      <c r="J30" s="61"/>
      <c r="K30" s="51"/>
      <c r="L30" s="51"/>
      <c r="M30" s="51"/>
      <c r="N30" s="51"/>
      <c r="O30" s="58"/>
      <c r="P30" s="51"/>
      <c r="Q30" s="20"/>
      <c r="U30" s="1"/>
      <c r="AC30" s="25">
        <v>333</v>
      </c>
    </row>
    <row r="31" spans="1:21" ht="15" hidden="1">
      <c r="A31" s="120"/>
      <c r="B31" s="85"/>
      <c r="C31" s="55"/>
      <c r="D31" s="55"/>
      <c r="E31" s="61" t="s">
        <v>213</v>
      </c>
      <c r="F31" s="56"/>
      <c r="G31" s="56"/>
      <c r="H31" s="56"/>
      <c r="I31" s="56"/>
      <c r="J31" s="61"/>
      <c r="K31" s="51"/>
      <c r="L31" s="51"/>
      <c r="M31" s="51"/>
      <c r="N31" s="55"/>
      <c r="O31" s="58"/>
      <c r="P31" s="51"/>
      <c r="Q31" s="20"/>
      <c r="U31" s="1"/>
    </row>
    <row r="32" spans="1:21" ht="15" hidden="1">
      <c r="A32" s="120"/>
      <c r="B32" s="85"/>
      <c r="C32" s="55"/>
      <c r="D32" s="55"/>
      <c r="E32" s="51"/>
      <c r="F32" s="51"/>
      <c r="G32" s="51"/>
      <c r="H32" s="51"/>
      <c r="I32" s="51"/>
      <c r="J32" s="61"/>
      <c r="K32" s="51"/>
      <c r="L32" s="51"/>
      <c r="M32" s="51"/>
      <c r="N32" s="51"/>
      <c r="O32" s="58"/>
      <c r="P32" s="51"/>
      <c r="Q32" s="20"/>
      <c r="U32" s="1"/>
    </row>
    <row r="33" spans="1:21" ht="15" hidden="1">
      <c r="A33" s="120"/>
      <c r="B33" s="85"/>
      <c r="C33" s="55"/>
      <c r="D33" s="55"/>
      <c r="E33" s="51" t="s">
        <v>214</v>
      </c>
      <c r="F33" s="51"/>
      <c r="G33" s="51"/>
      <c r="H33" s="51"/>
      <c r="I33" s="51"/>
      <c r="J33" s="51"/>
      <c r="K33" s="51"/>
      <c r="L33" s="51"/>
      <c r="M33" s="51"/>
      <c r="N33" s="55"/>
      <c r="O33" s="58"/>
      <c r="P33" s="51"/>
      <c r="Q33" s="20"/>
      <c r="U33" s="1"/>
    </row>
    <row r="34" spans="1:21" ht="6.75" customHeight="1">
      <c r="A34" s="120"/>
      <c r="B34" s="85"/>
      <c r="C34" s="86"/>
      <c r="D34" s="84"/>
      <c r="E34" s="84"/>
      <c r="F34" s="84"/>
      <c r="G34" s="84"/>
      <c r="H34" s="84"/>
      <c r="I34" s="84"/>
      <c r="J34" s="84"/>
      <c r="K34" s="87"/>
      <c r="L34" s="84"/>
      <c r="M34" s="84"/>
      <c r="N34" s="84"/>
      <c r="O34" s="84"/>
      <c r="P34" s="84"/>
      <c r="Q34" s="88"/>
      <c r="U34" s="1"/>
    </row>
    <row r="35" spans="1:21" ht="15">
      <c r="A35" s="120" t="s">
        <v>200</v>
      </c>
      <c r="B35" s="51"/>
      <c r="C35" s="51"/>
      <c r="D35" s="51"/>
      <c r="E35" s="51"/>
      <c r="F35" s="51"/>
      <c r="G35" s="51"/>
      <c r="H35" s="51"/>
      <c r="I35" s="51"/>
      <c r="J35" s="51"/>
      <c r="K35" s="61"/>
      <c r="L35" s="51"/>
      <c r="M35" s="51"/>
      <c r="N35" s="51"/>
      <c r="O35" s="51"/>
      <c r="P35" s="51"/>
      <c r="U35" s="1"/>
    </row>
    <row r="36" spans="1:21" ht="15">
      <c r="A36" s="51"/>
      <c r="B36" s="51"/>
      <c r="C36" s="51"/>
      <c r="D36" s="51"/>
      <c r="E36" s="51"/>
      <c r="F36" s="51"/>
      <c r="G36" s="51"/>
      <c r="H36" s="51"/>
      <c r="I36" s="51"/>
      <c r="J36" s="51"/>
      <c r="K36" s="61"/>
      <c r="L36" s="51"/>
      <c r="M36" s="51"/>
      <c r="N36" s="51"/>
      <c r="O36" s="51"/>
      <c r="P36" s="51"/>
      <c r="U36" s="1"/>
    </row>
    <row r="37" spans="2:21" ht="15">
      <c r="B37" s="51"/>
      <c r="C37" s="51"/>
      <c r="D37" s="51"/>
      <c r="E37" s="183" t="s">
        <v>227</v>
      </c>
      <c r="F37" s="183"/>
      <c r="G37" s="183"/>
      <c r="H37" s="183"/>
      <c r="I37" s="183"/>
      <c r="J37" s="183"/>
      <c r="K37" s="51"/>
      <c r="L37" s="51"/>
      <c r="M37" s="51"/>
      <c r="N37" s="51"/>
      <c r="O37" s="51"/>
      <c r="P37" s="51"/>
      <c r="U37" s="1"/>
    </row>
    <row r="38" spans="2:21" ht="15">
      <c r="B38" s="51"/>
      <c r="C38" s="51"/>
      <c r="D38" s="51"/>
      <c r="E38" s="56"/>
      <c r="F38" s="56"/>
      <c r="G38" s="56"/>
      <c r="H38" s="56"/>
      <c r="I38" s="56"/>
      <c r="J38" s="56"/>
      <c r="K38" s="51"/>
      <c r="L38" s="51"/>
      <c r="M38" s="51"/>
      <c r="N38" s="51"/>
      <c r="O38" s="51"/>
      <c r="P38" s="51"/>
      <c r="U38" s="1"/>
    </row>
    <row r="39" spans="2:21" ht="15">
      <c r="B39" s="51"/>
      <c r="C39" s="51"/>
      <c r="D39" s="51"/>
      <c r="E39" s="137"/>
      <c r="F39" s="138"/>
      <c r="G39" s="138"/>
      <c r="H39" s="138"/>
      <c r="I39" s="138"/>
      <c r="J39" s="138"/>
      <c r="K39" s="51"/>
      <c r="L39" s="51"/>
      <c r="M39" s="51"/>
      <c r="N39" s="51"/>
      <c r="O39" s="51"/>
      <c r="P39" s="140"/>
      <c r="R39" s="2"/>
      <c r="U39" s="1"/>
    </row>
    <row r="40" spans="2:21" ht="15">
      <c r="B40" s="51"/>
      <c r="C40" s="51"/>
      <c r="D40" s="51"/>
      <c r="E40" s="56"/>
      <c r="F40" s="56"/>
      <c r="G40" s="56"/>
      <c r="H40" s="56"/>
      <c r="I40" s="56"/>
      <c r="J40" s="56"/>
      <c r="K40" s="51"/>
      <c r="L40" s="51"/>
      <c r="M40" s="51"/>
      <c r="N40" s="51"/>
      <c r="O40" s="51"/>
      <c r="P40" s="51"/>
      <c r="U40" s="1"/>
    </row>
    <row r="41" spans="2:21" ht="15">
      <c r="B41" s="51"/>
      <c r="C41" s="84"/>
      <c r="D41" s="84"/>
      <c r="E41" s="183" t="s">
        <v>194</v>
      </c>
      <c r="F41" s="183"/>
      <c r="G41" s="56"/>
      <c r="H41" s="56"/>
      <c r="I41" s="56"/>
      <c r="J41" s="56"/>
      <c r="K41" s="51"/>
      <c r="L41" s="51"/>
      <c r="M41" s="51"/>
      <c r="N41" s="51"/>
      <c r="O41" s="51"/>
      <c r="P41" s="51"/>
      <c r="U41" s="1"/>
    </row>
    <row r="42" spans="2:21" ht="15">
      <c r="B42" s="85"/>
      <c r="C42" s="55"/>
      <c r="D42" s="55"/>
      <c r="E42" s="56"/>
      <c r="F42" s="51"/>
      <c r="G42" s="62"/>
      <c r="H42" s="62"/>
      <c r="I42" s="62"/>
      <c r="J42" s="57"/>
      <c r="K42" s="62"/>
      <c r="L42" s="62"/>
      <c r="M42" s="62"/>
      <c r="N42" s="62"/>
      <c r="O42" s="62"/>
      <c r="P42" s="62"/>
      <c r="Q42" s="89"/>
      <c r="U42" s="1"/>
    </row>
    <row r="43" spans="2:21" ht="15.75" thickBot="1">
      <c r="B43" s="85"/>
      <c r="C43" s="55"/>
      <c r="D43" s="55"/>
      <c r="E43" s="74" t="s">
        <v>203</v>
      </c>
      <c r="F43" s="56"/>
      <c r="G43" s="56"/>
      <c r="H43" s="56"/>
      <c r="I43" s="56"/>
      <c r="J43" s="56"/>
      <c r="K43" s="51"/>
      <c r="L43" s="51"/>
      <c r="M43" s="51"/>
      <c r="N43" s="51"/>
      <c r="O43" s="51"/>
      <c r="P43" s="51"/>
      <c r="Q43" s="90"/>
      <c r="U43" s="1"/>
    </row>
    <row r="44" spans="2:21" ht="15.75" thickBot="1">
      <c r="B44" s="85"/>
      <c r="C44" s="55"/>
      <c r="D44" s="55"/>
      <c r="E44" s="241" t="s">
        <v>206</v>
      </c>
      <c r="F44" s="241"/>
      <c r="G44" s="241"/>
      <c r="H44" s="56"/>
      <c r="I44" s="139">
        <v>0</v>
      </c>
      <c r="J44" s="110" t="str">
        <f>IF('Mon Entreprise'!K8&lt;Annexes!U19,"*","")</f>
        <v>*</v>
      </c>
      <c r="K44" s="51"/>
      <c r="L44" s="51"/>
      <c r="M44" s="51"/>
      <c r="N44" s="51"/>
      <c r="O44" s="51"/>
      <c r="P44" s="51"/>
      <c r="Q44" s="90"/>
      <c r="U44" s="1"/>
    </row>
    <row r="45" spans="2:21" ht="15">
      <c r="B45" s="85"/>
      <c r="C45" s="55"/>
      <c r="D45" s="55"/>
      <c r="E45" s="120" t="str">
        <f>IF(K8&lt;Annexes!U19,"","En cas de création d'activité après le 15 mars 2019, veuillez vous reporter en bas du tableau...")</f>
        <v/>
      </c>
      <c r="F45" s="56"/>
      <c r="G45" s="56"/>
      <c r="H45" s="56"/>
      <c r="I45" s="56"/>
      <c r="J45" s="56"/>
      <c r="K45" s="51"/>
      <c r="L45" s="51"/>
      <c r="M45" s="121"/>
      <c r="N45" s="51"/>
      <c r="O45" s="51"/>
      <c r="P45" s="51"/>
      <c r="Q45" s="90"/>
      <c r="U45" s="1"/>
    </row>
    <row r="46" spans="2:21" ht="15">
      <c r="B46" s="85"/>
      <c r="C46" s="55"/>
      <c r="D46" s="55"/>
      <c r="E46" s="51"/>
      <c r="F46" s="229" t="str">
        <f>IF(K8&lt;Annexes!U14,"CA moyen sur un mois :","")</f>
        <v>CA moyen sur un mois :</v>
      </c>
      <c r="G46" s="229"/>
      <c r="H46" s="229"/>
      <c r="I46" s="63">
        <f>IF(AND(K8&gt;Annexes!S17,K8&lt;Annexes!U14),I44*360/(Annexes!U17-K8+1)/12,I44/12)</f>
        <v>0</v>
      </c>
      <c r="J46" s="121"/>
      <c r="K46" s="51"/>
      <c r="L46" s="51"/>
      <c r="M46" s="51"/>
      <c r="N46" s="51"/>
      <c r="O46" s="51"/>
      <c r="P46" s="51"/>
      <c r="Q46" s="90"/>
      <c r="R46" s="15"/>
      <c r="U46" s="1"/>
    </row>
    <row r="47" spans="2:21" ht="15">
      <c r="B47" s="85"/>
      <c r="C47" s="55"/>
      <c r="D47" s="55"/>
      <c r="E47" s="84"/>
      <c r="F47" s="84"/>
      <c r="G47" s="84"/>
      <c r="H47" s="84"/>
      <c r="I47" s="84"/>
      <c r="J47" s="84"/>
      <c r="K47" s="84"/>
      <c r="L47" s="84"/>
      <c r="M47" s="84"/>
      <c r="N47" s="84"/>
      <c r="O47" s="51"/>
      <c r="P47" s="51"/>
      <c r="Q47" s="90"/>
      <c r="U47" s="1"/>
    </row>
    <row r="48" spans="2:21" ht="15">
      <c r="B48" s="85"/>
      <c r="C48" s="55"/>
      <c r="D48" s="55"/>
      <c r="E48" s="55"/>
      <c r="F48" s="55"/>
      <c r="G48" s="55"/>
      <c r="H48" s="55"/>
      <c r="I48" s="55"/>
      <c r="J48" s="55"/>
      <c r="K48" s="55"/>
      <c r="L48" s="55"/>
      <c r="M48" s="55"/>
      <c r="N48" s="55"/>
      <c r="O48" s="51"/>
      <c r="P48" s="51"/>
      <c r="Q48" s="90"/>
      <c r="U48" s="1"/>
    </row>
    <row r="49" spans="2:21" ht="39" customHeight="1">
      <c r="B49" s="85"/>
      <c r="C49" s="55"/>
      <c r="D49" s="55"/>
      <c r="E49" s="196" t="s">
        <v>195</v>
      </c>
      <c r="F49" s="196"/>
      <c r="G49" s="196"/>
      <c r="H49" s="196"/>
      <c r="I49" s="196"/>
      <c r="J49" s="197"/>
      <c r="K49" s="192" t="s">
        <v>204</v>
      </c>
      <c r="L49" s="193"/>
      <c r="M49" s="193"/>
      <c r="N49" s="193"/>
      <c r="O49" s="193"/>
      <c r="P49" s="193"/>
      <c r="Q49" s="90"/>
      <c r="U49" s="1"/>
    </row>
    <row r="50" spans="2:21" ht="15">
      <c r="B50" s="85"/>
      <c r="C50" s="55"/>
      <c r="D50" s="55"/>
      <c r="E50" s="51"/>
      <c r="F50" s="61"/>
      <c r="G50" s="61"/>
      <c r="H50" s="194" t="s">
        <v>107</v>
      </c>
      <c r="I50" s="194"/>
      <c r="J50" s="194"/>
      <c r="K50" s="61"/>
      <c r="L50" s="194" t="s">
        <v>108</v>
      </c>
      <c r="M50" s="194"/>
      <c r="N50" s="194"/>
      <c r="O50" s="194"/>
      <c r="P50" s="61"/>
      <c r="Q50" s="90"/>
      <c r="U50" s="1"/>
    </row>
    <row r="51" spans="2:21" ht="15.75" thickBot="1">
      <c r="B51" s="85"/>
      <c r="C51" s="55"/>
      <c r="D51" s="55"/>
      <c r="E51" s="51"/>
      <c r="F51" s="51"/>
      <c r="G51" s="51"/>
      <c r="H51" s="51"/>
      <c r="I51" s="51"/>
      <c r="J51" s="51"/>
      <c r="K51" s="55"/>
      <c r="L51" s="51"/>
      <c r="M51" s="51"/>
      <c r="N51" s="51"/>
      <c r="O51" s="51"/>
      <c r="P51" s="51"/>
      <c r="Q51" s="90"/>
      <c r="U51" s="1"/>
    </row>
    <row r="52" spans="2:22" ht="15.75" thickBot="1">
      <c r="B52" s="85"/>
      <c r="C52" s="55"/>
      <c r="D52" s="55"/>
      <c r="E52" s="64" t="str">
        <f>IF(Annexes!M5=FALSE,"- Non-Concerné : ",IF(Annexes!O5=1,"- Non-Concerné :","- Septembre :"))</f>
        <v xml:space="preserve">- Non-Concerné : </v>
      </c>
      <c r="F52" s="51"/>
      <c r="G52" s="51"/>
      <c r="H52" s="51"/>
      <c r="I52" s="139">
        <v>0</v>
      </c>
      <c r="J52" s="85"/>
      <c r="K52" s="55"/>
      <c r="L52" s="51"/>
      <c r="M52" s="139">
        <v>0</v>
      </c>
      <c r="N52" s="112" t="str">
        <f>IF(AND(Annexes!M5=TRUE,Annexes!O5&gt;1),"*","")</f>
        <v/>
      </c>
      <c r="O52" s="51"/>
      <c r="P52" s="165"/>
      <c r="Q52" s="90"/>
      <c r="S52" s="15"/>
      <c r="T52" s="15"/>
      <c r="U52" s="15"/>
      <c r="V52" s="15"/>
    </row>
    <row r="53" spans="2:21" ht="15">
      <c r="B53" s="85"/>
      <c r="C53" s="55"/>
      <c r="D53" s="55"/>
      <c r="E53" s="149" t="str">
        <f>IF(Annexes!M5=FALSE,"",IF(Annexes!O5=1,"","Seulement le CA sur le nombre de jours de fermeture administrative"))</f>
        <v/>
      </c>
      <c r="F53" s="149"/>
      <c r="G53" s="149"/>
      <c r="H53" s="149"/>
      <c r="I53" s="149"/>
      <c r="J53" s="150"/>
      <c r="K53" s="55"/>
      <c r="L53" s="51"/>
      <c r="M53" s="65"/>
      <c r="N53" s="51"/>
      <c r="O53" s="51"/>
      <c r="P53" s="165"/>
      <c r="Q53" s="90"/>
      <c r="U53" s="1"/>
    </row>
    <row r="54" spans="2:21" ht="15.75" thickBot="1">
      <c r="B54" s="85"/>
      <c r="C54" s="55"/>
      <c r="D54" s="55"/>
      <c r="E54" s="66"/>
      <c r="F54" s="66"/>
      <c r="G54" s="66"/>
      <c r="H54" s="66"/>
      <c r="I54" s="66"/>
      <c r="J54" s="85"/>
      <c r="K54" s="55"/>
      <c r="L54" s="51"/>
      <c r="M54" s="65"/>
      <c r="N54" s="51"/>
      <c r="O54" s="51"/>
      <c r="P54" s="165"/>
      <c r="Q54" s="90"/>
      <c r="U54" s="1"/>
    </row>
    <row r="55" spans="2:21" ht="15.75" thickBot="1">
      <c r="B55" s="85"/>
      <c r="C55" s="55"/>
      <c r="D55" s="55"/>
      <c r="E55" s="190" t="str">
        <f>IF(Annexes!M5=FALSE,"- Non-Concerné :",IF(Annexes!Q5=1,"- Non-Concerné :","- Octobre :"))</f>
        <v>- Non-Concerné :</v>
      </c>
      <c r="F55" s="190"/>
      <c r="G55" s="66"/>
      <c r="H55" s="66"/>
      <c r="I55" s="139">
        <v>0</v>
      </c>
      <c r="J55" s="85"/>
      <c r="K55" s="55"/>
      <c r="L55" s="51"/>
      <c r="M55" s="139">
        <v>0</v>
      </c>
      <c r="N55" s="112" t="str">
        <f>IF(AND(Annexes!M5=TRUE,Annexes!Q5&gt;1),"*","")</f>
        <v/>
      </c>
      <c r="O55" s="51"/>
      <c r="P55" s="165"/>
      <c r="Q55" s="90"/>
      <c r="U55" s="1"/>
    </row>
    <row r="56" spans="2:21" ht="15">
      <c r="B56" s="85"/>
      <c r="C56" s="55"/>
      <c r="D56" s="55"/>
      <c r="E56" s="198" t="str">
        <f>IF(Annexes!M5=FALSE,"",IF(Annexes!Q5=1,"","Seulement le CA sur le nombre de jours de fermeture administrative"))</f>
        <v/>
      </c>
      <c r="F56" s="198"/>
      <c r="G56" s="198"/>
      <c r="H56" s="198"/>
      <c r="I56" s="198"/>
      <c r="J56" s="199"/>
      <c r="K56" s="55"/>
      <c r="L56" s="51"/>
      <c r="M56" s="65"/>
      <c r="N56" s="51"/>
      <c r="O56" s="51"/>
      <c r="P56" s="165"/>
      <c r="Q56" s="90"/>
      <c r="U56" s="1"/>
    </row>
    <row r="57" spans="2:21" ht="15.75" thickBot="1">
      <c r="B57" s="85"/>
      <c r="C57" s="55"/>
      <c r="D57" s="55"/>
      <c r="E57" s="51"/>
      <c r="F57" s="51"/>
      <c r="G57" s="51"/>
      <c r="H57" s="51"/>
      <c r="I57" s="51"/>
      <c r="J57" s="85"/>
      <c r="K57" s="55"/>
      <c r="L57" s="51"/>
      <c r="M57" s="51"/>
      <c r="N57" s="51"/>
      <c r="O57" s="51"/>
      <c r="P57" s="51"/>
      <c r="Q57" s="90"/>
      <c r="U57" s="1"/>
    </row>
    <row r="58" spans="2:21" ht="15.75" thickBot="1">
      <c r="B58" s="85"/>
      <c r="C58" s="55"/>
      <c r="D58" s="55"/>
      <c r="E58" s="190" t="s">
        <v>109</v>
      </c>
      <c r="F58" s="190"/>
      <c r="G58" s="51"/>
      <c r="H58" s="51"/>
      <c r="I58" s="139">
        <v>0</v>
      </c>
      <c r="J58" s="85"/>
      <c r="K58" s="55"/>
      <c r="L58" s="51"/>
      <c r="M58" s="139">
        <v>0</v>
      </c>
      <c r="N58" s="110" t="s">
        <v>189</v>
      </c>
      <c r="O58" s="67"/>
      <c r="P58" s="51"/>
      <c r="Q58" s="90"/>
      <c r="U58" s="1"/>
    </row>
    <row r="59" spans="2:21" ht="15.75" thickBot="1">
      <c r="B59" s="85"/>
      <c r="C59" s="55"/>
      <c r="D59" s="55"/>
      <c r="E59" s="51"/>
      <c r="F59" s="51"/>
      <c r="G59" s="51"/>
      <c r="H59" s="51"/>
      <c r="I59" s="51"/>
      <c r="J59" s="85"/>
      <c r="K59" s="55"/>
      <c r="L59" s="51"/>
      <c r="M59" s="51"/>
      <c r="N59" s="51"/>
      <c r="O59" s="51"/>
      <c r="P59" s="51"/>
      <c r="Q59" s="90"/>
      <c r="U59" s="1"/>
    </row>
    <row r="60" spans="2:21" ht="15.75" thickBot="1">
      <c r="B60" s="85"/>
      <c r="C60" s="55"/>
      <c r="D60" s="55"/>
      <c r="E60" s="190" t="s">
        <v>110</v>
      </c>
      <c r="F60" s="190"/>
      <c r="G60" s="51"/>
      <c r="H60" s="51"/>
      <c r="I60" s="139">
        <v>0</v>
      </c>
      <c r="J60" s="85"/>
      <c r="K60" s="55"/>
      <c r="L60" s="51"/>
      <c r="M60" s="139">
        <v>0</v>
      </c>
      <c r="N60" s="110" t="s">
        <v>189</v>
      </c>
      <c r="O60" s="68"/>
      <c r="P60" s="51"/>
      <c r="Q60" s="90"/>
      <c r="U60" s="1"/>
    </row>
    <row r="61" spans="2:21" ht="15.75" thickBot="1">
      <c r="B61" s="85"/>
      <c r="C61" s="55"/>
      <c r="D61" s="55"/>
      <c r="E61" s="51"/>
      <c r="F61" s="51"/>
      <c r="G61" s="51"/>
      <c r="H61" s="51"/>
      <c r="I61" s="51"/>
      <c r="J61" s="85"/>
      <c r="K61" s="55"/>
      <c r="L61" s="51"/>
      <c r="M61" s="51"/>
      <c r="N61" s="51"/>
      <c r="O61" s="51"/>
      <c r="P61" s="51"/>
      <c r="Q61" s="90"/>
      <c r="U61" s="1"/>
    </row>
    <row r="62" spans="2:21" ht="15.75" thickBot="1">
      <c r="B62" s="85"/>
      <c r="C62" s="55"/>
      <c r="D62" s="55"/>
      <c r="E62" s="195" t="s">
        <v>111</v>
      </c>
      <c r="F62" s="195"/>
      <c r="G62" s="195"/>
      <c r="H62" s="51"/>
      <c r="I62" s="139">
        <f>I46*2</f>
        <v>0</v>
      </c>
      <c r="J62" s="111" t="str">
        <f>IF('Mon Entreprise'!K8&lt;Annexes!U19,"*","")</f>
        <v>*</v>
      </c>
      <c r="K62" s="55"/>
      <c r="L62" s="51"/>
      <c r="M62" s="139">
        <v>0</v>
      </c>
      <c r="N62" s="110" t="s">
        <v>189</v>
      </c>
      <c r="O62" s="51"/>
      <c r="P62" s="51"/>
      <c r="Q62" s="90"/>
      <c r="U62" s="1"/>
    </row>
    <row r="63" spans="2:21" ht="15">
      <c r="B63" s="85"/>
      <c r="C63" s="55"/>
      <c r="D63" s="55"/>
      <c r="E63" s="51"/>
      <c r="F63" s="51"/>
      <c r="G63" s="51"/>
      <c r="H63" s="51"/>
      <c r="I63" s="65"/>
      <c r="J63" s="51"/>
      <c r="K63" s="51"/>
      <c r="L63" s="51"/>
      <c r="M63" s="51"/>
      <c r="N63" s="51"/>
      <c r="O63" s="51"/>
      <c r="P63" s="51"/>
      <c r="Q63" s="90"/>
      <c r="U63" s="1"/>
    </row>
    <row r="64" spans="2:21" ht="15">
      <c r="B64" s="85"/>
      <c r="C64" s="55"/>
      <c r="D64" s="55"/>
      <c r="E64" s="84"/>
      <c r="F64" s="84"/>
      <c r="G64" s="84"/>
      <c r="H64" s="84"/>
      <c r="I64" s="84"/>
      <c r="J64" s="84"/>
      <c r="K64" s="84"/>
      <c r="L64" s="84"/>
      <c r="M64" s="84"/>
      <c r="N64" s="84"/>
      <c r="O64" s="51"/>
      <c r="P64" s="51"/>
      <c r="Q64" s="90"/>
      <c r="U64" s="1"/>
    </row>
    <row r="65" spans="2:21" ht="15">
      <c r="B65" s="85"/>
      <c r="C65" s="55"/>
      <c r="D65" s="55"/>
      <c r="E65" s="51"/>
      <c r="F65" s="51"/>
      <c r="G65" s="51"/>
      <c r="H65" s="51"/>
      <c r="I65" s="51"/>
      <c r="J65" s="51"/>
      <c r="K65" s="51"/>
      <c r="L65" s="51"/>
      <c r="M65" s="51"/>
      <c r="N65" s="51"/>
      <c r="O65" s="51"/>
      <c r="P65" s="51"/>
      <c r="Q65" s="90"/>
      <c r="U65" s="1"/>
    </row>
    <row r="66" spans="2:21" ht="15">
      <c r="B66" s="85"/>
      <c r="C66" s="55"/>
      <c r="D66" s="55"/>
      <c r="E66" s="191" t="str">
        <f>IF(K8&lt;Annexes!U19,"A compléter seulement en cas de création d'activité après le 15 Mars 2019","En cas de création d'activité après le 15 Mars 2019")</f>
        <v>A compléter seulement en cas de création d'activité après le 15 Mars 2019</v>
      </c>
      <c r="F66" s="191"/>
      <c r="G66" s="191"/>
      <c r="H66" s="191"/>
      <c r="I66" s="191"/>
      <c r="J66" s="191"/>
      <c r="K66" s="191"/>
      <c r="L66" s="191"/>
      <c r="M66" s="191"/>
      <c r="N66" s="51"/>
      <c r="O66" s="51"/>
      <c r="P66" s="51"/>
      <c r="Q66" s="90"/>
      <c r="U66" s="1"/>
    </row>
    <row r="67" spans="2:21" ht="15.75" thickBot="1">
      <c r="B67" s="85"/>
      <c r="C67" s="55"/>
      <c r="D67" s="55"/>
      <c r="E67" s="51"/>
      <c r="F67" s="51"/>
      <c r="G67" s="51"/>
      <c r="H67" s="51"/>
      <c r="I67" s="65"/>
      <c r="J67" s="51"/>
      <c r="K67" s="51"/>
      <c r="L67" s="51"/>
      <c r="M67" s="51"/>
      <c r="N67" s="51"/>
      <c r="O67" s="51"/>
      <c r="P67" s="51"/>
      <c r="Q67" s="90"/>
      <c r="U67" s="1"/>
    </row>
    <row r="68" spans="2:21" ht="15.75" thickBot="1">
      <c r="B68" s="85"/>
      <c r="C68" s="55"/>
      <c r="D68" s="55"/>
      <c r="E68" s="241" t="str">
        <f>IF(AND(K8&gt;=Annexes!U19,K8&lt;=Annexes!U15),"- Chiffre d'affaires de la création au 15/03/2020 :","")</f>
        <v/>
      </c>
      <c r="F68" s="241"/>
      <c r="G68" s="241"/>
      <c r="H68" s="241"/>
      <c r="I68" s="241"/>
      <c r="J68" s="51"/>
      <c r="K68" s="51"/>
      <c r="L68" s="51"/>
      <c r="M68" s="139">
        <v>0</v>
      </c>
      <c r="N68" s="112" t="str">
        <f>IF(AND(K8&gt;=Annexes!U19,K8&lt;=Annexes!U15),"*","")</f>
        <v/>
      </c>
      <c r="O68" s="51"/>
      <c r="P68" s="51"/>
      <c r="Q68" s="90"/>
      <c r="U68" s="1"/>
    </row>
    <row r="69" spans="2:21" ht="15">
      <c r="B69" s="85"/>
      <c r="C69" s="55"/>
      <c r="D69" s="55"/>
      <c r="E69" s="51"/>
      <c r="F69" s="51"/>
      <c r="G69" s="51"/>
      <c r="H69" s="51"/>
      <c r="I69" s="51"/>
      <c r="J69" s="51"/>
      <c r="K69" s="51"/>
      <c r="L69" s="51"/>
      <c r="M69" s="51"/>
      <c r="N69" s="51"/>
      <c r="O69" s="51"/>
      <c r="P69" s="51"/>
      <c r="Q69" s="90"/>
      <c r="U69" s="1"/>
    </row>
    <row r="70" spans="2:21" ht="15">
      <c r="B70" s="85"/>
      <c r="C70" s="55"/>
      <c r="D70" s="55"/>
      <c r="E70" s="51"/>
      <c r="F70" s="242" t="str">
        <f>IF(AND(K8&gt;=Annexes!U19,K8&lt;=Annexes!U15),"CA moyen sur deux mois :","")</f>
        <v/>
      </c>
      <c r="G70" s="242"/>
      <c r="H70" s="242"/>
      <c r="I70" s="68" t="str">
        <f>_xlfn.IFERROR(IF(AND(K8&gt;=Annexes!U19,K8&lt;=Annexes!U15),M68*360/(Annexes!S19-K8+1)/6,""),0)</f>
        <v/>
      </c>
      <c r="J70" s="51"/>
      <c r="K70" s="51"/>
      <c r="L70" s="51"/>
      <c r="M70" s="51"/>
      <c r="N70" s="51"/>
      <c r="O70" s="51"/>
      <c r="P70" s="51"/>
      <c r="Q70" s="90"/>
      <c r="U70" s="1"/>
    </row>
    <row r="71" spans="2:21" ht="15">
      <c r="B71" s="85"/>
      <c r="C71" s="55"/>
      <c r="D71" s="55"/>
      <c r="E71" s="51"/>
      <c r="F71" s="59"/>
      <c r="G71" s="59"/>
      <c r="H71" s="59"/>
      <c r="I71" s="65"/>
      <c r="J71" s="68"/>
      <c r="K71" s="51"/>
      <c r="L71" s="51"/>
      <c r="M71" s="51"/>
      <c r="N71" s="51"/>
      <c r="O71" s="51"/>
      <c r="P71" s="51"/>
      <c r="Q71" s="90"/>
      <c r="U71" s="1"/>
    </row>
    <row r="72" spans="2:21" ht="15">
      <c r="B72" s="85"/>
      <c r="C72" s="55"/>
      <c r="D72" s="55"/>
      <c r="E72" s="51"/>
      <c r="F72" s="51"/>
      <c r="G72" s="51"/>
      <c r="H72" s="51"/>
      <c r="I72" s="51"/>
      <c r="J72" s="51"/>
      <c r="K72" s="51"/>
      <c r="L72" s="51"/>
      <c r="M72" s="51"/>
      <c r="N72" s="51"/>
      <c r="O72" s="51"/>
      <c r="P72" s="51"/>
      <c r="Q72" s="90"/>
      <c r="U72" s="1"/>
    </row>
    <row r="73" spans="2:21" ht="15.75" customHeight="1">
      <c r="B73" s="85"/>
      <c r="C73" s="55"/>
      <c r="D73" s="55"/>
      <c r="E73" s="243" t="str">
        <f>IF(K8&gt;Annexes!S18,"",IF(K8&gt;Annexes!U16,"Entreprise créée entre le 1er Juillet et le 30 Septembre 2020 :",IF(K8&gt;=Annexes!S16,"Entreprise créée entre le 1er Mars le 1er Juillet 2020 :",IF(K8&gt;=Annexes!S15,"Entreprise créée entre le 1er février 2020 et le 29 février 2020 :",IF(K8&gt;=Annexes!U14,"Entreprise créée entre le 1er Juin 2019 et le 31 Janvier 2020 :","")))))</f>
        <v/>
      </c>
      <c r="F73" s="243"/>
      <c r="G73" s="243"/>
      <c r="H73" s="243"/>
      <c r="I73" s="243"/>
      <c r="J73" s="243"/>
      <c r="K73" s="69"/>
      <c r="L73" s="69"/>
      <c r="M73" s="69"/>
      <c r="N73" s="51"/>
      <c r="O73" s="51"/>
      <c r="P73" s="51"/>
      <c r="Q73" s="90"/>
      <c r="U73" s="1"/>
    </row>
    <row r="74" spans="2:21" ht="15.75" customHeight="1" thickBot="1">
      <c r="B74" s="85"/>
      <c r="C74" s="55"/>
      <c r="D74" s="55"/>
      <c r="E74" s="70"/>
      <c r="F74" s="70"/>
      <c r="G74" s="70"/>
      <c r="H74" s="70"/>
      <c r="I74" s="70"/>
      <c r="J74" s="70"/>
      <c r="K74" s="69"/>
      <c r="L74" s="69"/>
      <c r="M74" s="69"/>
      <c r="N74" s="51"/>
      <c r="O74" s="51"/>
      <c r="P74" s="51"/>
      <c r="Q74" s="90"/>
      <c r="U74" s="1"/>
    </row>
    <row r="75" spans="2:21" ht="15.75" thickBot="1">
      <c r="B75" s="85"/>
      <c r="C75" s="55"/>
      <c r="D75" s="55"/>
      <c r="E75" s="244" t="str">
        <f>IF(K8&gt;Annexes!S18,"",IF(K8&gt;Annexes!U16,"- Chiffre d'affaires entre la création et le 30 Septembre 2020 :",IF(K8&gt;=Annexes!S16,"- Chiffre d'affaires entre le 1er Juillet et le 30 Septembre 2020 :",IF(K8&gt;=Annexes!S15,"- Chiffre d'affaires du mois de février 2020 :",IF(K8&gt;=Annexes!U14,"- Chiffre d'affaires entre la création et le 29 février 2020 :","")))))</f>
        <v/>
      </c>
      <c r="F75" s="244"/>
      <c r="G75" s="244"/>
      <c r="H75" s="244"/>
      <c r="I75" s="244"/>
      <c r="J75" s="244"/>
      <c r="K75" s="71"/>
      <c r="L75" s="71"/>
      <c r="M75" s="139">
        <v>0</v>
      </c>
      <c r="N75" s="112" t="str">
        <f>IF(K8&gt;Annexes!S18,"",IF(K8&gt;Annexes!U16,"*",IF(K8&gt;=Annexes!S16,"*",IF(K8&gt;=Annexes!S15,"*",IF(K8&gt;=Annexes!U14,"*","")))))</f>
        <v/>
      </c>
      <c r="O75" s="51"/>
      <c r="P75" s="51"/>
      <c r="Q75" s="90"/>
      <c r="U75" s="1"/>
    </row>
    <row r="76" spans="2:21" ht="15">
      <c r="B76" s="85"/>
      <c r="C76" s="55"/>
      <c r="D76" s="55"/>
      <c r="E76" s="51"/>
      <c r="F76" s="51"/>
      <c r="G76" s="51"/>
      <c r="H76" s="51"/>
      <c r="I76" s="65"/>
      <c r="J76" s="51"/>
      <c r="K76" s="51"/>
      <c r="L76" s="51"/>
      <c r="M76" s="51"/>
      <c r="N76" s="51"/>
      <c r="O76" s="51"/>
      <c r="P76" s="51"/>
      <c r="Q76" s="90"/>
      <c r="U76" s="1"/>
    </row>
    <row r="77" spans="2:21" ht="15.75" customHeight="1">
      <c r="B77" s="85"/>
      <c r="C77" s="55"/>
      <c r="D77" s="55"/>
      <c r="E77" s="51"/>
      <c r="F77" s="229" t="str">
        <f>IF(K8&gt;Annexes!S18,"",IF(K8&gt;=Annexes!U14,"CA moyen sur un mois :",""))</f>
        <v/>
      </c>
      <c r="G77" s="229"/>
      <c r="H77" s="229"/>
      <c r="I77" s="63" t="str">
        <f>IF(K8&gt;Annexes!S18,"",IF(K8&gt;Annexes!U16,M75*360/(Annexes!S18-K8+1)/12,IF(K8&gt;=Annexes!S16,M75*360/92/12,IF(K8&gt;=Annexes!S15,M75*29/(Annexes!S14-K8+1),IF(K8&gt;=Annexes!U14,M75*360/(Annexes!S14-K8+1)/12,"")))))</f>
        <v/>
      </c>
      <c r="J77" s="51"/>
      <c r="K77" s="51"/>
      <c r="L77" s="51"/>
      <c r="M77" s="51"/>
      <c r="N77" s="51"/>
      <c r="O77" s="51"/>
      <c r="P77" s="51"/>
      <c r="Q77" s="94"/>
      <c r="R77" s="11"/>
      <c r="U77" s="1"/>
    </row>
    <row r="78" spans="2:21" ht="15">
      <c r="B78" s="85"/>
      <c r="C78" s="55"/>
      <c r="D78" s="55"/>
      <c r="E78" s="51"/>
      <c r="F78" s="229" t="str">
        <f>IF(AND(Annexes!M5=TRUE,Annexes!O5&gt;1),IF(AND(K8&lt;=Annexes!U18,K8&gt;=Annexes!U14),"Soit sur "&amp;Annexes!O5-1&amp;" Jour(s) (Septembre) :",""),"")</f>
        <v/>
      </c>
      <c r="G78" s="229"/>
      <c r="H78" s="229"/>
      <c r="I78" s="65" t="str">
        <f>IF(AND(Annexes!M5=TRUE,Annexes!O5&gt;1),IF(AND(K8&lt;=Annexes!U18,K8&gt;=Annexes!U14),I77/30*(Annexes!O5-1),""),"")</f>
        <v/>
      </c>
      <c r="J78" s="51"/>
      <c r="K78" s="51"/>
      <c r="L78" s="51"/>
      <c r="M78" s="51"/>
      <c r="N78" s="51"/>
      <c r="O78" s="51"/>
      <c r="P78" s="68"/>
      <c r="Q78" s="94"/>
      <c r="R78" s="11"/>
      <c r="U78" s="1"/>
    </row>
    <row r="79" spans="2:21" ht="15">
      <c r="B79" s="85"/>
      <c r="C79" s="55"/>
      <c r="D79" s="55"/>
      <c r="E79" s="51"/>
      <c r="F79" s="229" t="str">
        <f>IF(AND(Annexes!M5=TRUE,Annexes!O5&gt;1),IF(AND(K8&lt;=Annexes!U18,K8&gt;=Annexes!U14),"Soit sur "&amp;Annexes!Q5-1&amp;" Jour(s) (Octobre):",""),"")</f>
        <v/>
      </c>
      <c r="G79" s="229"/>
      <c r="H79" s="229"/>
      <c r="I79" s="65" t="str">
        <f>IF(AND(Annexes!M5=TRUE,Annexes!O5&gt;1),IF(AND(K8&lt;=Annexes!U18,K8&gt;=Annexes!U14),I77/30*(Annexes!Q5-1),""),"")</f>
        <v/>
      </c>
      <c r="J79" s="51"/>
      <c r="K79" s="51"/>
      <c r="L79" s="51"/>
      <c r="M79" s="51"/>
      <c r="N79" s="51"/>
      <c r="O79" s="51"/>
      <c r="P79" s="68"/>
      <c r="Q79" s="94"/>
      <c r="R79" s="11"/>
      <c r="U79" s="1"/>
    </row>
    <row r="80" spans="2:21" ht="15">
      <c r="B80" s="85"/>
      <c r="C80" s="55"/>
      <c r="D80" s="55"/>
      <c r="E80" s="55"/>
      <c r="F80" s="55"/>
      <c r="G80" s="55"/>
      <c r="H80" s="55"/>
      <c r="I80" s="65"/>
      <c r="J80" s="55"/>
      <c r="K80" s="55"/>
      <c r="L80" s="55"/>
      <c r="M80" s="55"/>
      <c r="N80" s="55"/>
      <c r="O80" s="51"/>
      <c r="P80" s="65"/>
      <c r="Q80" s="94"/>
      <c r="R80" s="11"/>
      <c r="U80" s="1"/>
    </row>
    <row r="81" spans="2:21" ht="15">
      <c r="B81" s="85"/>
      <c r="C81" s="55"/>
      <c r="D81" s="55"/>
      <c r="E81" s="235" t="str">
        <f>IF(AND(Annexes!M5=TRUE,Annexes!O5&gt;1),IF(AND(K8&lt;=Annexes!U18,K8&gt;=Annexes!S16),"Aide pour Septembre :",""),"")</f>
        <v/>
      </c>
      <c r="F81" s="235"/>
      <c r="G81" s="235"/>
      <c r="H81" s="72"/>
      <c r="I81" s="51"/>
      <c r="J81" s="51"/>
      <c r="K81" s="51"/>
      <c r="L81" s="51"/>
      <c r="M81" s="51"/>
      <c r="N81" s="51"/>
      <c r="O81" s="51"/>
      <c r="P81" s="51"/>
      <c r="Q81" s="95"/>
      <c r="R81" s="24"/>
      <c r="U81" s="1"/>
    </row>
    <row r="82" spans="2:21" ht="15.75" thickBot="1">
      <c r="B82" s="93"/>
      <c r="C82" s="73"/>
      <c r="D82" s="73"/>
      <c r="E82" s="239" t="str">
        <f>IF(AND(Annexes!M5=TRUE,Annexes!O5&gt;1),IF(AND(K8&lt;=Annexes!U18,K8&gt;=Annexes!S16),"Entreprise créée entre le 1er Mars et le 31 Août 2020",""),"")</f>
        <v/>
      </c>
      <c r="F82" s="239"/>
      <c r="G82" s="239"/>
      <c r="H82" s="239"/>
      <c r="I82" s="239"/>
      <c r="J82" s="239"/>
      <c r="K82" s="239"/>
      <c r="L82" s="239"/>
      <c r="M82" s="239"/>
      <c r="N82" s="55"/>
      <c r="O82" s="55"/>
      <c r="P82" s="55"/>
      <c r="Q82" s="90"/>
      <c r="R82" s="7"/>
      <c r="U82" s="1"/>
    </row>
    <row r="83" spans="2:21" ht="15.75" thickBot="1">
      <c r="B83" s="85"/>
      <c r="C83" s="55"/>
      <c r="D83" s="55"/>
      <c r="E83" s="243" t="str">
        <f>IF(AND(Annexes!M5=TRUE,Annexes!O5&gt;1),IF(AND(K8&lt;=Annexes!U18,K8&gt;=Annexes!S16),"- Chiffre d'affaires entre la création et le 31 Août 2020 :",""),"")</f>
        <v/>
      </c>
      <c r="F83" s="243"/>
      <c r="G83" s="243"/>
      <c r="H83" s="243"/>
      <c r="I83" s="243"/>
      <c r="J83" s="243"/>
      <c r="K83" s="243"/>
      <c r="L83" s="243"/>
      <c r="M83" s="139">
        <v>0</v>
      </c>
      <c r="N83" s="112" t="str">
        <f>IF(AND(Annexes!M5=TRUE,Annexes!O5&gt;1),IF(AND(K8&lt;=Annexes!U18,K8&gt;=Annexes!S16),"*",""),"")</f>
        <v/>
      </c>
      <c r="O83" s="51"/>
      <c r="P83" s="51"/>
      <c r="Q83" s="90"/>
      <c r="S83" s="11"/>
      <c r="U83" s="1"/>
    </row>
    <row r="84" spans="2:21" ht="15" customHeight="1">
      <c r="B84" s="85"/>
      <c r="C84" s="55"/>
      <c r="D84" s="55"/>
      <c r="E84" s="51"/>
      <c r="F84" s="51"/>
      <c r="G84" s="51"/>
      <c r="H84" s="51"/>
      <c r="I84" s="51"/>
      <c r="J84" s="51"/>
      <c r="K84" s="51"/>
      <c r="L84" s="51"/>
      <c r="M84" s="51"/>
      <c r="N84" s="51"/>
      <c r="O84" s="51"/>
      <c r="P84" s="51"/>
      <c r="Q84" s="96"/>
      <c r="R84" s="10"/>
      <c r="S84" s="11"/>
      <c r="U84" s="1"/>
    </row>
    <row r="85" spans="2:21" ht="15" customHeight="1">
      <c r="B85" s="85"/>
      <c r="C85" s="55"/>
      <c r="D85" s="55"/>
      <c r="E85" s="51"/>
      <c r="F85" s="229" t="str">
        <f>IF(AND(Annexes!M5=TRUE,Annexes!O5&gt;1),IF(AND(K8&lt;=Annexes!U18,K8&gt;=Annexes!S16),"Soit sur "&amp;Annexes!O5-1&amp;" Jour(s) :",""),"")</f>
        <v/>
      </c>
      <c r="G85" s="229"/>
      <c r="H85" s="229"/>
      <c r="I85" s="68" t="str">
        <f>IF(AND(Annexes!M5=TRUE,Annexes!O5&gt;1),IF(AND(K8&lt;=Annexes!U18,K8&gt;=Annexes!S16),M83*(Annexes!O5-1)/(Annexes!U18-K8+1),""),"")</f>
        <v/>
      </c>
      <c r="J85" s="51"/>
      <c r="K85" s="51"/>
      <c r="L85" s="51"/>
      <c r="M85" s="51"/>
      <c r="N85" s="51"/>
      <c r="O85" s="51"/>
      <c r="P85" s="51"/>
      <c r="Q85" s="96"/>
      <c r="R85" s="10"/>
      <c r="S85" s="11"/>
      <c r="U85" s="1"/>
    </row>
    <row r="86" spans="2:21" ht="15">
      <c r="B86" s="85"/>
      <c r="C86" s="86"/>
      <c r="D86" s="84"/>
      <c r="E86" s="84"/>
      <c r="F86" s="84"/>
      <c r="G86" s="84"/>
      <c r="H86" s="84"/>
      <c r="I86" s="84"/>
      <c r="J86" s="84"/>
      <c r="K86" s="84"/>
      <c r="L86" s="84"/>
      <c r="M86" s="84"/>
      <c r="N86" s="84"/>
      <c r="O86" s="84"/>
      <c r="P86" s="84"/>
      <c r="Q86" s="97"/>
      <c r="S86" s="11"/>
      <c r="U86" s="1"/>
    </row>
    <row r="87" spans="2:21" ht="15">
      <c r="B87" s="1"/>
      <c r="C87" s="1"/>
      <c r="D87" s="1"/>
      <c r="E87" s="1"/>
      <c r="F87" s="1"/>
      <c r="G87" s="1"/>
      <c r="H87" s="1"/>
      <c r="I87" s="1"/>
      <c r="J87" s="1"/>
      <c r="K87" s="1"/>
      <c r="L87" s="1"/>
      <c r="M87" s="1"/>
      <c r="N87" s="1"/>
      <c r="O87" s="1"/>
      <c r="P87" s="1"/>
      <c r="Q87" s="1"/>
      <c r="R87" s="1"/>
      <c r="S87" s="11"/>
      <c r="U87" s="1"/>
    </row>
    <row r="88" spans="2:21" ht="15">
      <c r="B88" s="1"/>
      <c r="C88" s="1"/>
      <c r="D88" s="1"/>
      <c r="E88" s="1"/>
      <c r="F88" s="1"/>
      <c r="G88" s="1"/>
      <c r="H88" s="1"/>
      <c r="I88" s="1"/>
      <c r="J88" s="1"/>
      <c r="K88" s="1"/>
      <c r="L88" s="1"/>
      <c r="M88" s="1"/>
      <c r="N88" s="1"/>
      <c r="O88" s="1"/>
      <c r="P88" s="1"/>
      <c r="Q88" s="1"/>
      <c r="R88" s="1"/>
      <c r="S88" s="11"/>
      <c r="U88" s="1"/>
    </row>
    <row r="89" spans="2:21" ht="15">
      <c r="B89" s="14"/>
      <c r="C89" s="14"/>
      <c r="D89" s="14"/>
      <c r="E89" s="1"/>
      <c r="F89" s="1"/>
      <c r="G89" s="1"/>
      <c r="H89" s="1"/>
      <c r="I89" s="1"/>
      <c r="J89" s="1"/>
      <c r="K89" s="1"/>
      <c r="L89" s="1"/>
      <c r="M89" s="1"/>
      <c r="N89" s="1"/>
      <c r="O89" s="1"/>
      <c r="P89" s="1"/>
      <c r="Q89" s="1"/>
      <c r="R89" s="1"/>
      <c r="S89" s="11"/>
      <c r="U89" s="1"/>
    </row>
    <row r="90" spans="2:21" ht="15">
      <c r="B90" s="1"/>
      <c r="C90" s="1"/>
      <c r="D90" s="1"/>
      <c r="E90" s="1"/>
      <c r="F90" s="1"/>
      <c r="G90" s="1"/>
      <c r="H90" s="1"/>
      <c r="I90" s="1"/>
      <c r="J90" s="1"/>
      <c r="K90" s="1"/>
      <c r="L90" s="1"/>
      <c r="M90" s="1"/>
      <c r="N90" s="1"/>
      <c r="O90" s="1"/>
      <c r="P90" s="1"/>
      <c r="Q90" s="1"/>
      <c r="R90" s="1"/>
      <c r="S90" s="10"/>
      <c r="U90" s="1"/>
    </row>
    <row r="91" spans="2:21" ht="15">
      <c r="B91" s="1"/>
      <c r="C91" s="1"/>
      <c r="D91" s="1"/>
      <c r="E91" s="1"/>
      <c r="F91" s="1"/>
      <c r="G91" s="1"/>
      <c r="H91" s="1"/>
      <c r="I91" s="1"/>
      <c r="J91" s="1"/>
      <c r="K91" s="1"/>
      <c r="L91" s="1"/>
      <c r="M91" s="1"/>
      <c r="N91" s="1"/>
      <c r="O91" s="1"/>
      <c r="P91" s="1"/>
      <c r="Q91" s="1"/>
      <c r="R91" s="1"/>
      <c r="S91" s="10"/>
      <c r="U91" s="1"/>
    </row>
    <row r="92" spans="2:21" ht="15">
      <c r="B92" s="1"/>
      <c r="C92" s="1"/>
      <c r="D92" s="1"/>
      <c r="E92" s="1"/>
      <c r="F92" s="1"/>
      <c r="G92" s="1"/>
      <c r="H92" s="1"/>
      <c r="I92" s="1"/>
      <c r="J92" s="1"/>
      <c r="K92" s="1"/>
      <c r="L92" s="1"/>
      <c r="M92" s="1"/>
      <c r="N92" s="1"/>
      <c r="O92" s="1"/>
      <c r="P92" s="1"/>
      <c r="Q92" s="1"/>
      <c r="R92" s="1"/>
      <c r="U92" s="1"/>
    </row>
    <row r="93" spans="2:22" ht="15">
      <c r="B93" s="1"/>
      <c r="C93" s="1"/>
      <c r="D93" s="1"/>
      <c r="E93" s="1"/>
      <c r="F93" s="1"/>
      <c r="G93" s="1"/>
      <c r="H93" s="1"/>
      <c r="I93" s="1"/>
      <c r="J93" s="1"/>
      <c r="K93" s="1"/>
      <c r="L93" s="1"/>
      <c r="M93" s="1"/>
      <c r="N93" s="1"/>
      <c r="O93" s="1"/>
      <c r="P93" s="1"/>
      <c r="Q93" s="1"/>
      <c r="R93" s="1"/>
      <c r="S93" s="1"/>
      <c r="T93" s="1"/>
      <c r="U93" s="1"/>
      <c r="V93" s="1"/>
    </row>
    <row r="94" spans="2:18" ht="15">
      <c r="B94" s="1"/>
      <c r="C94" s="1"/>
      <c r="D94" s="1"/>
      <c r="E94" s="1"/>
      <c r="F94" s="1"/>
      <c r="G94" s="1"/>
      <c r="H94" s="1"/>
      <c r="I94" s="1"/>
      <c r="J94" s="1"/>
      <c r="K94" s="1"/>
      <c r="L94" s="1"/>
      <c r="M94" s="1"/>
      <c r="N94" s="1"/>
      <c r="O94" s="1"/>
      <c r="P94" s="1"/>
      <c r="Q94" s="1"/>
      <c r="R94" s="1"/>
    </row>
    <row r="95" spans="2:18" ht="15">
      <c r="B95" s="1"/>
      <c r="C95" s="1"/>
      <c r="D95" s="1"/>
      <c r="E95" s="1"/>
      <c r="F95" s="1"/>
      <c r="G95" s="1"/>
      <c r="H95" s="1"/>
      <c r="I95" s="1"/>
      <c r="J95" s="1"/>
      <c r="K95" s="1"/>
      <c r="L95" s="1"/>
      <c r="M95" s="1"/>
      <c r="N95" s="1"/>
      <c r="O95" s="1"/>
      <c r="P95" s="1"/>
      <c r="Q95" s="1"/>
      <c r="R95" s="1"/>
    </row>
    <row r="96" spans="2:18" ht="15">
      <c r="B96" s="1"/>
      <c r="C96" s="1"/>
      <c r="D96" s="1"/>
      <c r="E96" s="1"/>
      <c r="F96" s="1"/>
      <c r="G96" s="1"/>
      <c r="H96" s="1"/>
      <c r="I96" s="1"/>
      <c r="J96" s="1"/>
      <c r="K96" s="1"/>
      <c r="L96" s="1"/>
      <c r="M96" s="1"/>
      <c r="N96" s="1"/>
      <c r="O96" s="1"/>
      <c r="P96" s="1"/>
      <c r="Q96" s="1"/>
      <c r="R96" s="1"/>
    </row>
    <row r="97" spans="2:18" ht="15">
      <c r="B97" s="1"/>
      <c r="C97" s="1"/>
      <c r="D97" s="1"/>
      <c r="E97" s="1"/>
      <c r="F97" s="1"/>
      <c r="G97" s="1"/>
      <c r="H97" s="1"/>
      <c r="I97" s="1"/>
      <c r="J97" s="1"/>
      <c r="K97" s="1"/>
      <c r="L97" s="1"/>
      <c r="M97" s="1"/>
      <c r="N97" s="1"/>
      <c r="O97" s="1"/>
      <c r="P97" s="1"/>
      <c r="Q97" s="1"/>
      <c r="R97" s="1"/>
    </row>
    <row r="98" spans="2:18" ht="15">
      <c r="B98" s="1"/>
      <c r="C98" s="1"/>
      <c r="D98" s="1"/>
      <c r="E98" s="1"/>
      <c r="F98" s="1"/>
      <c r="G98" s="1"/>
      <c r="H98" s="1"/>
      <c r="I98" s="1"/>
      <c r="J98" s="1"/>
      <c r="K98" s="1"/>
      <c r="L98" s="1"/>
      <c r="M98" s="1"/>
      <c r="N98" s="1"/>
      <c r="O98" s="1"/>
      <c r="P98" s="1"/>
      <c r="Q98" s="1"/>
      <c r="R98" s="1"/>
    </row>
    <row r="99" spans="2:18" ht="15">
      <c r="B99" s="1"/>
      <c r="C99" s="1"/>
      <c r="D99" s="1"/>
      <c r="E99" s="1"/>
      <c r="F99" s="1"/>
      <c r="G99" s="1"/>
      <c r="H99" s="1"/>
      <c r="I99" s="1"/>
      <c r="J99" s="1"/>
      <c r="K99" s="1"/>
      <c r="L99" s="1"/>
      <c r="M99" s="1"/>
      <c r="N99" s="1"/>
      <c r="O99" s="1"/>
      <c r="P99" s="1"/>
      <c r="Q99" s="1"/>
      <c r="R99" s="1"/>
    </row>
    <row r="100" spans="2:18" ht="15">
      <c r="B100" s="1"/>
      <c r="C100" s="1"/>
      <c r="D100" s="1"/>
      <c r="E100" s="1"/>
      <c r="F100" s="1"/>
      <c r="G100" s="1"/>
      <c r="H100" s="1"/>
      <c r="I100" s="1"/>
      <c r="J100" s="1"/>
      <c r="K100" s="1"/>
      <c r="L100" s="1"/>
      <c r="M100" s="1"/>
      <c r="N100" s="1"/>
      <c r="O100" s="1"/>
      <c r="P100" s="1"/>
      <c r="Q100" s="1"/>
      <c r="R100" s="1"/>
    </row>
    <row r="101" spans="2:18" ht="15">
      <c r="B101" s="1"/>
      <c r="C101" s="1"/>
      <c r="D101" s="1"/>
      <c r="E101" s="1"/>
      <c r="F101" s="1"/>
      <c r="G101" s="1"/>
      <c r="H101" s="1"/>
      <c r="I101" s="1"/>
      <c r="J101" s="1"/>
      <c r="K101" s="1"/>
      <c r="L101" s="1"/>
      <c r="M101" s="1"/>
      <c r="N101" s="1"/>
      <c r="O101" s="1"/>
      <c r="P101" s="1"/>
      <c r="Q101" s="1"/>
      <c r="R101" s="1"/>
    </row>
    <row r="102" spans="2:18" ht="15">
      <c r="B102" s="1"/>
      <c r="C102" s="1"/>
      <c r="D102" s="1"/>
      <c r="E102" s="1"/>
      <c r="F102" s="1"/>
      <c r="G102" s="1"/>
      <c r="H102" s="1"/>
      <c r="I102" s="1"/>
      <c r="J102" s="1"/>
      <c r="K102" s="1"/>
      <c r="L102" s="1"/>
      <c r="M102" s="1"/>
      <c r="N102" s="1"/>
      <c r="O102" s="1"/>
      <c r="P102" s="1"/>
      <c r="Q102" s="1"/>
      <c r="R102" s="1"/>
    </row>
    <row r="103" spans="2:18" ht="15">
      <c r="B103" s="1"/>
      <c r="C103" s="1"/>
      <c r="D103" s="1"/>
      <c r="E103" s="1"/>
      <c r="F103" s="1"/>
      <c r="G103" s="1"/>
      <c r="H103" s="1"/>
      <c r="I103" s="1"/>
      <c r="J103" s="1"/>
      <c r="K103" s="1"/>
      <c r="L103" s="1"/>
      <c r="M103" s="1"/>
      <c r="N103" s="1"/>
      <c r="O103" s="1"/>
      <c r="P103" s="1"/>
      <c r="Q103" s="1"/>
      <c r="R103" s="1"/>
    </row>
    <row r="104" spans="2:18" ht="15">
      <c r="B104" s="1"/>
      <c r="C104" s="1"/>
      <c r="D104" s="1"/>
      <c r="E104" s="1"/>
      <c r="F104" s="1"/>
      <c r="G104" s="1"/>
      <c r="H104" s="1"/>
      <c r="I104" s="1"/>
      <c r="J104" s="1"/>
      <c r="K104" s="1"/>
      <c r="L104" s="1"/>
      <c r="M104" s="1"/>
      <c r="N104" s="1"/>
      <c r="O104" s="1"/>
      <c r="P104" s="1"/>
      <c r="Q104" s="1"/>
      <c r="R104" s="1"/>
    </row>
    <row r="105" spans="2:18" ht="15">
      <c r="B105" s="1"/>
      <c r="C105" s="1"/>
      <c r="D105" s="1"/>
      <c r="E105" s="1"/>
      <c r="F105" s="1"/>
      <c r="G105" s="1"/>
      <c r="H105" s="1"/>
      <c r="I105" s="1"/>
      <c r="J105" s="1"/>
      <c r="K105" s="1"/>
      <c r="L105" s="1"/>
      <c r="M105" s="1"/>
      <c r="N105" s="1"/>
      <c r="O105" s="1"/>
      <c r="P105" s="1"/>
      <c r="Q105" s="1"/>
      <c r="R105" s="1"/>
    </row>
    <row r="106" spans="2:18" ht="15">
      <c r="B106" s="1"/>
      <c r="C106" s="1"/>
      <c r="D106" s="1"/>
      <c r="E106" s="1"/>
      <c r="F106" s="1"/>
      <c r="G106" s="1"/>
      <c r="H106" s="1"/>
      <c r="I106" s="1"/>
      <c r="J106" s="1"/>
      <c r="K106" s="1"/>
      <c r="L106" s="1"/>
      <c r="M106" s="1"/>
      <c r="N106" s="1"/>
      <c r="O106" s="1"/>
      <c r="P106" s="1"/>
      <c r="Q106" s="1"/>
      <c r="R106" s="1"/>
    </row>
    <row r="107" spans="2:18" ht="15">
      <c r="B107" s="1"/>
      <c r="C107" s="1"/>
      <c r="D107" s="1"/>
      <c r="E107" s="1"/>
      <c r="F107" s="1"/>
      <c r="G107" s="1"/>
      <c r="H107" s="1"/>
      <c r="I107" s="1"/>
      <c r="J107" s="1"/>
      <c r="K107" s="1"/>
      <c r="L107" s="1"/>
      <c r="M107" s="1"/>
      <c r="N107" s="1"/>
      <c r="O107" s="1"/>
      <c r="P107" s="1"/>
      <c r="Q107" s="1"/>
      <c r="R107" s="1"/>
    </row>
    <row r="108" spans="2:18" ht="15">
      <c r="B108" s="1"/>
      <c r="C108" s="1"/>
      <c r="D108" s="1"/>
      <c r="E108" s="1"/>
      <c r="F108" s="1"/>
      <c r="G108" s="1"/>
      <c r="H108" s="1"/>
      <c r="I108" s="1"/>
      <c r="J108" s="1"/>
      <c r="K108" s="1"/>
      <c r="L108" s="1"/>
      <c r="M108" s="1"/>
      <c r="N108" s="1"/>
      <c r="O108" s="1"/>
      <c r="P108" s="1"/>
      <c r="Q108" s="1"/>
      <c r="R108" s="1"/>
    </row>
    <row r="109" spans="2:18" ht="15">
      <c r="B109" s="1"/>
      <c r="C109" s="1"/>
      <c r="D109" s="1"/>
      <c r="E109" s="1"/>
      <c r="F109" s="1"/>
      <c r="G109" s="1"/>
      <c r="H109" s="1"/>
      <c r="I109" s="1"/>
      <c r="J109" s="1"/>
      <c r="K109" s="1"/>
      <c r="L109" s="1"/>
      <c r="M109" s="1"/>
      <c r="N109" s="1"/>
      <c r="O109" s="1"/>
      <c r="P109" s="1"/>
      <c r="Q109" s="1"/>
      <c r="R109" s="1"/>
    </row>
    <row r="110" spans="2:21" ht="15">
      <c r="B110" s="1"/>
      <c r="C110" s="1"/>
      <c r="D110" s="1"/>
      <c r="E110" s="1"/>
      <c r="F110" s="1"/>
      <c r="G110" s="1"/>
      <c r="H110" s="1"/>
      <c r="I110" s="1"/>
      <c r="J110" s="1"/>
      <c r="K110" s="1"/>
      <c r="L110" s="1"/>
      <c r="M110" s="1"/>
      <c r="N110" s="1"/>
      <c r="O110" s="1"/>
      <c r="P110" s="1"/>
      <c r="Q110" s="1"/>
      <c r="R110" s="1"/>
      <c r="S110" s="1"/>
      <c r="T110" s="1"/>
      <c r="U110" s="1"/>
    </row>
    <row r="111" spans="2:21" ht="15">
      <c r="B111" s="14"/>
      <c r="C111" s="14"/>
      <c r="D111" s="14"/>
      <c r="E111" s="1"/>
      <c r="F111" s="1"/>
      <c r="G111" s="1"/>
      <c r="H111" s="1"/>
      <c r="I111" s="1"/>
      <c r="J111" s="1"/>
      <c r="K111" s="1"/>
      <c r="L111" s="1"/>
      <c r="M111" s="1"/>
      <c r="N111" s="1"/>
      <c r="O111" s="1"/>
      <c r="P111" s="1"/>
      <c r="Q111" s="1"/>
      <c r="R111" s="1"/>
      <c r="S111" s="1"/>
      <c r="T111" s="1"/>
      <c r="U111" s="1"/>
    </row>
    <row r="112" spans="2:21" ht="15">
      <c r="B112" s="1"/>
      <c r="C112" s="1"/>
      <c r="D112" s="1"/>
      <c r="E112" s="1"/>
      <c r="F112" s="1"/>
      <c r="G112" s="1"/>
      <c r="H112" s="1"/>
      <c r="I112" s="1"/>
      <c r="J112" s="1"/>
      <c r="K112" s="1"/>
      <c r="L112" s="1"/>
      <c r="M112" s="1"/>
      <c r="N112" s="1"/>
      <c r="O112" s="1"/>
      <c r="P112" s="1"/>
      <c r="Q112" s="1"/>
      <c r="R112" s="1"/>
      <c r="S112" s="1"/>
      <c r="T112" s="1"/>
      <c r="U112" s="1"/>
    </row>
    <row r="113" spans="2:21" ht="15">
      <c r="B113" s="1"/>
      <c r="C113" s="1"/>
      <c r="D113" s="1"/>
      <c r="E113" s="1"/>
      <c r="F113" s="1"/>
      <c r="G113" s="1"/>
      <c r="H113" s="1"/>
      <c r="I113" s="1"/>
      <c r="J113" s="1"/>
      <c r="K113" s="1"/>
      <c r="L113" s="1"/>
      <c r="M113" s="1"/>
      <c r="N113" s="1"/>
      <c r="O113" s="1"/>
      <c r="P113" s="1"/>
      <c r="Q113" s="1"/>
      <c r="R113" s="1"/>
      <c r="S113" s="1"/>
      <c r="T113" s="1"/>
      <c r="U113" s="1"/>
    </row>
    <row r="114" spans="2:21" ht="15">
      <c r="B114" s="1"/>
      <c r="C114" s="1"/>
      <c r="D114" s="1"/>
      <c r="E114" s="1"/>
      <c r="F114" s="1"/>
      <c r="G114" s="1"/>
      <c r="H114" s="1"/>
      <c r="I114" s="1"/>
      <c r="J114" s="1"/>
      <c r="K114" s="1"/>
      <c r="L114" s="1"/>
      <c r="M114" s="1"/>
      <c r="N114" s="1"/>
      <c r="O114" s="1"/>
      <c r="P114" s="1"/>
      <c r="Q114" s="1"/>
      <c r="R114" s="1"/>
      <c r="S114" s="1"/>
      <c r="T114" s="1"/>
      <c r="U114" s="1"/>
    </row>
    <row r="115" spans="2:21" ht="15">
      <c r="B115" s="1"/>
      <c r="C115" s="1"/>
      <c r="D115" s="1"/>
      <c r="E115" s="1"/>
      <c r="F115" s="1"/>
      <c r="G115" s="1"/>
      <c r="H115" s="1"/>
      <c r="I115" s="1"/>
      <c r="J115" s="1"/>
      <c r="K115" s="1"/>
      <c r="L115" s="1"/>
      <c r="M115" s="1"/>
      <c r="N115" s="1"/>
      <c r="O115" s="1"/>
      <c r="P115" s="1"/>
      <c r="Q115" s="1"/>
      <c r="R115" s="1"/>
      <c r="S115" s="1"/>
      <c r="T115" s="1"/>
      <c r="U115" s="1"/>
    </row>
    <row r="116" spans="2:21" ht="15">
      <c r="B116" s="1"/>
      <c r="C116" s="1"/>
      <c r="D116" s="1"/>
      <c r="E116" s="1"/>
      <c r="F116" s="1"/>
      <c r="G116" s="1"/>
      <c r="H116" s="1"/>
      <c r="I116" s="1"/>
      <c r="J116" s="1"/>
      <c r="K116" s="1"/>
      <c r="L116" s="1"/>
      <c r="M116" s="1"/>
      <c r="N116" s="1"/>
      <c r="O116" s="1"/>
      <c r="P116" s="1"/>
      <c r="Q116" s="1"/>
      <c r="R116" s="1"/>
      <c r="S116" s="1"/>
      <c r="T116" s="1"/>
      <c r="U116" s="1"/>
    </row>
    <row r="117" spans="2:21" ht="15">
      <c r="B117" s="1"/>
      <c r="C117" s="1"/>
      <c r="D117" s="1"/>
      <c r="E117" s="1"/>
      <c r="F117" s="1"/>
      <c r="G117" s="1"/>
      <c r="H117" s="1"/>
      <c r="I117" s="1"/>
      <c r="J117" s="1"/>
      <c r="K117" s="1"/>
      <c r="L117" s="1"/>
      <c r="M117" s="1"/>
      <c r="N117" s="1"/>
      <c r="O117" s="1"/>
      <c r="P117" s="1"/>
      <c r="Q117" s="1"/>
      <c r="R117" s="1"/>
      <c r="S117" s="1"/>
      <c r="T117" s="1"/>
      <c r="U117" s="1"/>
    </row>
    <row r="118" spans="2:21" ht="15">
      <c r="B118" s="1"/>
      <c r="C118" s="1"/>
      <c r="D118" s="1"/>
      <c r="E118" s="1"/>
      <c r="F118" s="1"/>
      <c r="G118" s="1"/>
      <c r="H118" s="1"/>
      <c r="I118" s="1"/>
      <c r="J118" s="1"/>
      <c r="K118" s="1"/>
      <c r="L118" s="1"/>
      <c r="M118" s="1"/>
      <c r="N118" s="1"/>
      <c r="O118" s="1"/>
      <c r="P118" s="1"/>
      <c r="Q118" s="1"/>
      <c r="R118" s="1"/>
      <c r="S118" s="1"/>
      <c r="T118" s="1"/>
      <c r="U118" s="1"/>
    </row>
    <row r="119" spans="2:21" ht="15">
      <c r="B119" s="1"/>
      <c r="C119" s="1"/>
      <c r="D119" s="1"/>
      <c r="E119" s="1"/>
      <c r="F119" s="1"/>
      <c r="G119" s="1"/>
      <c r="H119" s="1"/>
      <c r="I119" s="1"/>
      <c r="J119" s="1"/>
      <c r="K119" s="1"/>
      <c r="L119" s="1"/>
      <c r="M119" s="1"/>
      <c r="N119" s="1"/>
      <c r="O119" s="1"/>
      <c r="P119" s="1"/>
      <c r="Q119" s="1"/>
      <c r="R119" s="1"/>
      <c r="S119" s="1"/>
      <c r="T119" s="1"/>
      <c r="U119" s="1"/>
    </row>
    <row r="120" spans="2:21" ht="15">
      <c r="B120" s="1"/>
      <c r="C120" s="1"/>
      <c r="D120" s="1"/>
      <c r="E120" s="1"/>
      <c r="F120" s="1"/>
      <c r="G120" s="1"/>
      <c r="H120" s="1"/>
      <c r="I120" s="1"/>
      <c r="J120" s="1"/>
      <c r="K120" s="1"/>
      <c r="L120" s="1"/>
      <c r="M120" s="1"/>
      <c r="N120" s="1"/>
      <c r="O120" s="1"/>
      <c r="P120" s="1"/>
      <c r="Q120" s="1"/>
      <c r="R120" s="1"/>
      <c r="S120" s="1"/>
      <c r="T120" s="1"/>
      <c r="U120" s="1"/>
    </row>
    <row r="121" spans="2:21" ht="15">
      <c r="B121" s="1"/>
      <c r="C121" s="1"/>
      <c r="D121" s="1"/>
      <c r="E121" s="1"/>
      <c r="F121" s="1"/>
      <c r="G121" s="1"/>
      <c r="H121" s="1"/>
      <c r="I121" s="1"/>
      <c r="J121" s="1"/>
      <c r="K121" s="1"/>
      <c r="L121" s="1"/>
      <c r="M121" s="1"/>
      <c r="N121" s="1"/>
      <c r="O121" s="1"/>
      <c r="P121" s="1"/>
      <c r="Q121" s="1"/>
      <c r="R121" s="1"/>
      <c r="S121" s="1"/>
      <c r="T121" s="1"/>
      <c r="U121" s="1"/>
    </row>
    <row r="122" spans="2:21" ht="15">
      <c r="B122" s="1"/>
      <c r="C122" s="1"/>
      <c r="D122" s="1"/>
      <c r="E122" s="1"/>
      <c r="F122" s="1"/>
      <c r="G122" s="1"/>
      <c r="H122" s="1"/>
      <c r="I122" s="1"/>
      <c r="J122" s="1"/>
      <c r="K122" s="1"/>
      <c r="L122" s="1"/>
      <c r="M122" s="1"/>
      <c r="N122" s="1"/>
      <c r="O122" s="1"/>
      <c r="P122" s="1"/>
      <c r="Q122" s="1"/>
      <c r="R122" s="1"/>
      <c r="S122" s="1"/>
      <c r="T122" s="1"/>
      <c r="U122" s="1"/>
    </row>
    <row r="123" spans="2:21" ht="15">
      <c r="B123" s="1"/>
      <c r="C123" s="1"/>
      <c r="D123" s="1"/>
      <c r="E123" s="1"/>
      <c r="F123" s="1"/>
      <c r="G123" s="1"/>
      <c r="H123" s="1"/>
      <c r="I123" s="1"/>
      <c r="J123" s="1"/>
      <c r="K123" s="1"/>
      <c r="L123" s="1"/>
      <c r="M123" s="1"/>
      <c r="N123" s="1"/>
      <c r="O123" s="1"/>
      <c r="P123" s="1"/>
      <c r="Q123" s="1"/>
      <c r="R123" s="1"/>
      <c r="S123" s="1"/>
      <c r="T123" s="1"/>
      <c r="U123" s="1"/>
    </row>
    <row r="124" spans="2:21" ht="15">
      <c r="B124" s="1"/>
      <c r="C124" s="1"/>
      <c r="D124" s="1"/>
      <c r="E124" s="1"/>
      <c r="F124" s="1"/>
      <c r="G124" s="1"/>
      <c r="H124" s="1"/>
      <c r="I124" s="1"/>
      <c r="J124" s="1"/>
      <c r="K124" s="1"/>
      <c r="L124" s="1"/>
      <c r="M124" s="1"/>
      <c r="N124" s="1"/>
      <c r="O124" s="1"/>
      <c r="P124" s="1"/>
      <c r="Q124" s="1"/>
      <c r="R124" s="1"/>
      <c r="S124" s="1"/>
      <c r="T124" s="1"/>
      <c r="U124" s="1"/>
    </row>
    <row r="125" spans="2:21" ht="15">
      <c r="B125" s="1"/>
      <c r="C125" s="1"/>
      <c r="D125" s="1"/>
      <c r="E125" s="1"/>
      <c r="F125" s="1"/>
      <c r="G125" s="1"/>
      <c r="H125" s="1"/>
      <c r="I125" s="1"/>
      <c r="J125" s="1"/>
      <c r="K125" s="1"/>
      <c r="L125" s="1"/>
      <c r="M125" s="1"/>
      <c r="N125" s="1"/>
      <c r="O125" s="1"/>
      <c r="P125" s="1"/>
      <c r="Q125" s="1"/>
      <c r="R125" s="1"/>
      <c r="S125" s="1"/>
      <c r="T125" s="1"/>
      <c r="U125" s="1"/>
    </row>
    <row r="126" spans="18:21" ht="15">
      <c r="R126" s="1"/>
      <c r="S126" s="1"/>
      <c r="T126" s="1"/>
      <c r="U126" s="1"/>
    </row>
    <row r="127" spans="18:21" ht="15">
      <c r="R127" s="1"/>
      <c r="S127" s="1"/>
      <c r="T127" s="1"/>
      <c r="U127" s="1"/>
    </row>
    <row r="128" spans="18:21" ht="15">
      <c r="R128" s="1"/>
      <c r="S128" s="1"/>
      <c r="T128" s="1"/>
      <c r="U128" s="1"/>
    </row>
    <row r="129" spans="18:21" ht="15">
      <c r="R129" s="1"/>
      <c r="S129" s="1"/>
      <c r="T129" s="1"/>
      <c r="U129" s="1"/>
    </row>
    <row r="130" spans="18:21" ht="15">
      <c r="R130" s="1"/>
      <c r="S130" s="1"/>
      <c r="T130" s="1"/>
      <c r="U130" s="1"/>
    </row>
    <row r="131" spans="18:22" ht="15">
      <c r="R131" s="1"/>
      <c r="S131" s="1"/>
      <c r="T131" s="1"/>
      <c r="U131" s="1"/>
      <c r="V131" s="1"/>
    </row>
    <row r="132" spans="18:21" ht="15">
      <c r="R132" s="1"/>
      <c r="S132" s="1"/>
      <c r="T132" s="1"/>
      <c r="U132" s="1"/>
    </row>
    <row r="133" spans="18:21" ht="15">
      <c r="R133" s="1"/>
      <c r="S133" s="1"/>
      <c r="T133" s="1"/>
      <c r="U133" s="1"/>
    </row>
    <row r="134" spans="19:21" ht="15">
      <c r="S134" s="1"/>
      <c r="T134" s="1"/>
      <c r="U134" s="1"/>
    </row>
    <row r="135" spans="19:21" ht="15">
      <c r="S135" s="1"/>
      <c r="T135" s="1"/>
      <c r="U135" s="1"/>
    </row>
    <row r="136" spans="19:21" ht="15">
      <c r="S136" s="1"/>
      <c r="T136" s="1"/>
      <c r="U136" s="1"/>
    </row>
    <row r="137" spans="19:21" ht="15">
      <c r="S137" s="1"/>
      <c r="T137" s="1"/>
      <c r="U137" s="1"/>
    </row>
    <row r="138" spans="19:21" ht="15">
      <c r="S138" s="1"/>
      <c r="T138" s="1"/>
      <c r="U138" s="1"/>
    </row>
    <row r="139" spans="19:21" ht="15">
      <c r="S139" s="1"/>
      <c r="T139" s="1"/>
      <c r="U139" s="1"/>
    </row>
    <row r="140" ht="15">
      <c r="S140" t="s">
        <v>98</v>
      </c>
    </row>
    <row r="141" ht="15">
      <c r="S141" t="s">
        <v>98</v>
      </c>
    </row>
  </sheetData>
  <sheetProtection algorithmName="SHA-512" hashValue="jR1pVY1Qr6tjYVkGl6nxpIC3zEheew34/c8PPWHu/8TiPNkXb4R9sw6bYk/6DM1apreokQMQY0WxnznMA/JzdQ==" saltValue="fdV5qKRXgMfzpl4uW9H/ew==" spinCount="100000" sheet="1" objects="1" scenarios="1"/>
  <mergeCells count="48">
    <mergeCell ref="E82:M82"/>
    <mergeCell ref="F85:H85"/>
    <mergeCell ref="T5:U6"/>
    <mergeCell ref="F77:H77"/>
    <mergeCell ref="F78:H78"/>
    <mergeCell ref="F46:H46"/>
    <mergeCell ref="E81:G81"/>
    <mergeCell ref="E68:I68"/>
    <mergeCell ref="F70:H70"/>
    <mergeCell ref="E73:J73"/>
    <mergeCell ref="E75:J75"/>
    <mergeCell ref="E83:L83"/>
    <mergeCell ref="B15:G15"/>
    <mergeCell ref="B17:G17"/>
    <mergeCell ref="F79:H79"/>
    <mergeCell ref="E44:G44"/>
    <mergeCell ref="S2:V3"/>
    <mergeCell ref="E37:J37"/>
    <mergeCell ref="H2:J4"/>
    <mergeCell ref="K2:P4"/>
    <mergeCell ref="H8:J8"/>
    <mergeCell ref="K8:L8"/>
    <mergeCell ref="H6:J6"/>
    <mergeCell ref="K6:P6"/>
    <mergeCell ref="E21:K21"/>
    <mergeCell ref="E18:O18"/>
    <mergeCell ref="E19:O19"/>
    <mergeCell ref="B10:F11"/>
    <mergeCell ref="E24:J24"/>
    <mergeCell ref="M8:P8"/>
    <mergeCell ref="G11:L11"/>
    <mergeCell ref="T19:U21"/>
    <mergeCell ref="E55:F55"/>
    <mergeCell ref="E66:M66"/>
    <mergeCell ref="K49:P49"/>
    <mergeCell ref="L50:O50"/>
    <mergeCell ref="H50:J50"/>
    <mergeCell ref="E60:F60"/>
    <mergeCell ref="E62:G62"/>
    <mergeCell ref="E49:J49"/>
    <mergeCell ref="E58:F58"/>
    <mergeCell ref="E56:J56"/>
    <mergeCell ref="E41:F41"/>
    <mergeCell ref="G10:L10"/>
    <mergeCell ref="T16:U18"/>
    <mergeCell ref="T13:U15"/>
    <mergeCell ref="T11:U12"/>
    <mergeCell ref="S9:V10"/>
  </mergeCells>
  <dataValidations count="1">
    <dataValidation type="list" allowBlank="1" showInputMessage="1" showErrorMessage="1" sqref="R21">
      <formula1>$R$22:$R$37</formula1>
    </dataValidation>
  </dataValidations>
  <hyperlinks>
    <hyperlink ref="B10:F11" r:id="rId1" display="Notice :"/>
    <hyperlink ref="T11:U12" r:id="rId2" display="- Notre FAQ sur le sujet (lien ici)"/>
    <hyperlink ref="T13:U15" r:id="rId3" display="- Le décret 2020-1328 du 02/11/2020 (lien ici)"/>
    <hyperlink ref="T19:U21" r:id="rId4" display="- Notion de fermeture administrative définie au décret 2020-1310 du 29/10/2020 (lien ici)"/>
    <hyperlink ref="T16:U18" r:id="rId5" display="- Notre résumé du décret 2020-1328 du 02/11/2020 (lien ici)"/>
  </hyperlinks>
  <printOptions/>
  <pageMargins left="0.7" right="0.7" top="0.75" bottom="0.75" header="0.3" footer="0.3"/>
  <pageSetup horizontalDpi="1200" verticalDpi="12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ECFDD"/>
  </sheetPr>
  <dimension ref="A3:AH130"/>
  <sheetViews>
    <sheetView showGridLines="0" workbookViewId="0" topLeftCell="A1">
      <selection activeCell="B2" sqref="B2"/>
    </sheetView>
  </sheetViews>
  <sheetFormatPr defaultColWidth="11.421875" defaultRowHeight="15"/>
  <cols>
    <col min="2" max="2" width="6.00390625" style="0" customWidth="1"/>
    <col min="3" max="3" width="4.00390625" style="0" customWidth="1"/>
    <col min="7" max="7" width="7.8515625" style="0" customWidth="1"/>
    <col min="8" max="8" width="3.421875" style="0" customWidth="1"/>
    <col min="9" max="9" width="16.57421875" style="0" customWidth="1"/>
    <col min="10" max="10" width="4.421875" style="0" customWidth="1"/>
    <col min="11" max="11" width="10.57421875" style="0" customWidth="1"/>
    <col min="13" max="14" width="4.8515625" style="0" customWidth="1"/>
    <col min="15" max="15" width="17.28125" style="0" customWidth="1"/>
    <col min="19" max="19" width="7.57421875" style="0" customWidth="1"/>
    <col min="20" max="20" width="12.8515625" style="0" hidden="1" customWidth="1"/>
    <col min="21" max="23" width="11.421875" style="0" hidden="1" customWidth="1"/>
    <col min="24" max="24" width="4.421875" style="0" hidden="1" customWidth="1"/>
    <col min="25" max="25" width="15.140625" style="0" hidden="1" customWidth="1"/>
    <col min="26" max="26" width="3.00390625" style="0" hidden="1" customWidth="1"/>
    <col min="27" max="27" width="3.7109375" style="0" hidden="1" customWidth="1"/>
    <col min="28" max="28" width="12.8515625" style="0" hidden="1" customWidth="1"/>
    <col min="29" max="29" width="3.7109375" style="0" hidden="1" customWidth="1"/>
    <col min="30" max="30" width="3.8515625" style="0" hidden="1" customWidth="1"/>
    <col min="31" max="31" width="11.421875" style="0" hidden="1" customWidth="1"/>
  </cols>
  <sheetData>
    <row r="3" spans="2:18" ht="15" customHeight="1">
      <c r="B3" s="5"/>
      <c r="C3" s="99"/>
      <c r="D3" s="99"/>
      <c r="E3" s="99"/>
      <c r="F3" s="270" t="s">
        <v>220</v>
      </c>
      <c r="G3" s="270"/>
      <c r="H3" s="270"/>
      <c r="I3" s="270"/>
      <c r="J3" s="270"/>
      <c r="K3" s="270"/>
      <c r="L3" s="270"/>
      <c r="M3" s="270"/>
      <c r="N3" s="270"/>
      <c r="O3" s="270"/>
      <c r="R3" s="131"/>
    </row>
    <row r="4" spans="2:16" ht="15" customHeight="1">
      <c r="B4" s="99"/>
      <c r="C4" s="99"/>
      <c r="D4" s="99"/>
      <c r="E4" s="99"/>
      <c r="F4" s="270"/>
      <c r="G4" s="270"/>
      <c r="H4" s="270"/>
      <c r="I4" s="270"/>
      <c r="J4" s="270"/>
      <c r="K4" s="270"/>
      <c r="L4" s="270"/>
      <c r="M4" s="270"/>
      <c r="N4" s="270"/>
      <c r="O4" s="270"/>
      <c r="P4" s="121"/>
    </row>
    <row r="5" spans="2:15" ht="15" customHeight="1">
      <c r="B5" s="99"/>
      <c r="C5" s="99"/>
      <c r="D5" s="99"/>
      <c r="E5" s="99"/>
      <c r="F5" s="270"/>
      <c r="G5" s="270"/>
      <c r="H5" s="270"/>
      <c r="I5" s="270"/>
      <c r="J5" s="270"/>
      <c r="K5" s="270"/>
      <c r="L5" s="270"/>
      <c r="M5" s="270"/>
      <c r="N5" s="270"/>
      <c r="O5" s="270"/>
    </row>
    <row r="6" spans="2:15" ht="15" customHeight="1">
      <c r="B6" s="99"/>
      <c r="C6" s="99"/>
      <c r="D6" s="99"/>
      <c r="E6" s="99"/>
      <c r="F6" s="270"/>
      <c r="G6" s="270"/>
      <c r="H6" s="270"/>
      <c r="I6" s="270"/>
      <c r="J6" s="270"/>
      <c r="K6" s="270"/>
      <c r="L6" s="270"/>
      <c r="M6" s="270"/>
      <c r="N6" s="270"/>
      <c r="O6" s="270"/>
    </row>
    <row r="7" spans="2:14" ht="15">
      <c r="B7" s="16"/>
      <c r="C7" s="16"/>
      <c r="D7" s="16"/>
      <c r="E7" s="16"/>
      <c r="F7" s="16"/>
      <c r="G7" s="130"/>
      <c r="H7" s="16"/>
      <c r="I7" s="16"/>
      <c r="J7" s="16"/>
      <c r="K7" s="16"/>
      <c r="L7" s="16"/>
      <c r="M7" s="16"/>
      <c r="N7" s="16"/>
    </row>
    <row r="8" spans="2:15" ht="15.75">
      <c r="B8" s="269" t="s">
        <v>128</v>
      </c>
      <c r="C8" s="269"/>
      <c r="D8" s="269"/>
      <c r="E8" s="269"/>
      <c r="F8" s="269"/>
      <c r="G8" s="269"/>
      <c r="H8" s="269"/>
      <c r="I8" s="269"/>
      <c r="J8" s="269"/>
      <c r="K8" s="269"/>
      <c r="L8" s="269"/>
      <c r="M8" s="269"/>
      <c r="N8" s="269"/>
      <c r="O8" s="269"/>
    </row>
    <row r="9" spans="2:15" ht="15" customHeight="1">
      <c r="B9" s="272" t="s">
        <v>127</v>
      </c>
      <c r="C9" s="272"/>
      <c r="D9" s="272"/>
      <c r="E9" s="272"/>
      <c r="F9" s="272"/>
      <c r="G9" s="272"/>
      <c r="H9" s="272"/>
      <c r="I9" s="272"/>
      <c r="J9" s="272"/>
      <c r="K9" s="272"/>
      <c r="L9" s="272"/>
      <c r="M9" s="272"/>
      <c r="N9" s="272"/>
      <c r="O9" s="272"/>
    </row>
    <row r="10" spans="2:15" ht="15" customHeight="1">
      <c r="B10" s="272"/>
      <c r="C10" s="272"/>
      <c r="D10" s="272"/>
      <c r="E10" s="272"/>
      <c r="F10" s="272"/>
      <c r="G10" s="272"/>
      <c r="H10" s="272"/>
      <c r="I10" s="272"/>
      <c r="J10" s="272"/>
      <c r="K10" s="272"/>
      <c r="L10" s="272"/>
      <c r="M10" s="272"/>
      <c r="N10" s="272"/>
      <c r="O10" s="272"/>
    </row>
    <row r="11" spans="2:19" ht="15.75">
      <c r="B11" s="269" t="s">
        <v>221</v>
      </c>
      <c r="C11" s="269"/>
      <c r="D11" s="269"/>
      <c r="E11" s="269"/>
      <c r="F11" s="269"/>
      <c r="G11" s="269"/>
      <c r="H11" s="269"/>
      <c r="I11" s="269"/>
      <c r="J11" s="269"/>
      <c r="K11" s="269"/>
      <c r="L11" s="269"/>
      <c r="M11" s="269"/>
      <c r="N11" s="269"/>
      <c r="O11" s="269"/>
      <c r="P11" s="121"/>
      <c r="Q11" s="121"/>
      <c r="R11" s="121"/>
      <c r="S11" s="121"/>
    </row>
    <row r="12" ht="15">
      <c r="R12" t="s">
        <v>98</v>
      </c>
    </row>
    <row r="13" spans="2:34" ht="15">
      <c r="B13" s="183" t="s">
        <v>225</v>
      </c>
      <c r="C13" s="183"/>
      <c r="D13" s="183"/>
      <c r="E13" s="183"/>
      <c r="F13" s="183"/>
      <c r="G13" s="183"/>
      <c r="H13" s="183"/>
      <c r="I13" s="183"/>
      <c r="J13" s="183"/>
      <c r="K13" s="183"/>
      <c r="L13" s="183"/>
      <c r="M13" s="183"/>
      <c r="N13" s="183"/>
      <c r="O13" s="183"/>
      <c r="S13" s="131"/>
      <c r="T13" s="273" t="s">
        <v>126</v>
      </c>
      <c r="U13" s="273"/>
      <c r="V13" s="273"/>
      <c r="W13" s="273"/>
      <c r="X13" s="273"/>
      <c r="Y13" s="273"/>
      <c r="Z13" s="273"/>
      <c r="AA13" s="273"/>
      <c r="AB13" s="273"/>
      <c r="AC13" s="273"/>
      <c r="AD13" s="273"/>
      <c r="AE13" s="273"/>
      <c r="AF13" s="1"/>
      <c r="AG13" s="1"/>
      <c r="AH13" s="1"/>
    </row>
    <row r="14" spans="19:34" ht="15">
      <c r="S14" s="131"/>
      <c r="T14" s="273"/>
      <c r="U14" s="273"/>
      <c r="V14" s="273"/>
      <c r="W14" s="273"/>
      <c r="X14" s="273"/>
      <c r="Y14" s="273"/>
      <c r="Z14" s="273"/>
      <c r="AA14" s="273"/>
      <c r="AB14" s="273"/>
      <c r="AC14" s="273"/>
      <c r="AD14" s="273"/>
      <c r="AE14" s="273"/>
      <c r="AF14" s="1"/>
      <c r="AG14" s="1"/>
      <c r="AH14" s="1"/>
    </row>
    <row r="15" spans="2:34" ht="19.5" customHeight="1" thickBot="1">
      <c r="B15" s="81"/>
      <c r="C15" s="245" t="s">
        <v>112</v>
      </c>
      <c r="D15" s="245"/>
      <c r="E15" s="245"/>
      <c r="F15" s="245"/>
      <c r="G15" s="245"/>
      <c r="H15" s="245"/>
      <c r="I15" s="82"/>
      <c r="J15" s="81"/>
      <c r="K15" s="81"/>
      <c r="L15" s="81"/>
      <c r="M15" s="81"/>
      <c r="N15" s="81"/>
      <c r="O15" s="81"/>
      <c r="T15" s="273"/>
      <c r="U15" s="273"/>
      <c r="V15" s="273"/>
      <c r="W15" s="273"/>
      <c r="X15" s="273"/>
      <c r="Y15" s="273"/>
      <c r="Z15" s="273"/>
      <c r="AA15" s="273"/>
      <c r="AB15" s="273"/>
      <c r="AC15" s="273"/>
      <c r="AD15" s="273"/>
      <c r="AE15" s="273"/>
      <c r="AF15" s="1"/>
      <c r="AG15" s="1"/>
      <c r="AH15" s="1"/>
    </row>
    <row r="16" spans="2:34" ht="15" customHeight="1">
      <c r="B16" s="1"/>
      <c r="C16" s="134"/>
      <c r="D16" s="134"/>
      <c r="E16" s="134"/>
      <c r="F16" s="134"/>
      <c r="G16" s="134"/>
      <c r="H16" s="134"/>
      <c r="I16" s="55"/>
      <c r="J16" s="1"/>
      <c r="K16" s="1"/>
      <c r="L16" s="1"/>
      <c r="M16" s="1"/>
      <c r="N16" s="1"/>
      <c r="O16" s="1"/>
      <c r="S16" s="131"/>
      <c r="T16" s="129"/>
      <c r="U16" s="129"/>
      <c r="V16" s="129"/>
      <c r="W16" s="129"/>
      <c r="X16" s="129"/>
      <c r="Y16" s="129"/>
      <c r="Z16" s="129"/>
      <c r="AA16" s="129"/>
      <c r="AB16" s="129"/>
      <c r="AC16" s="129"/>
      <c r="AD16" s="129"/>
      <c r="AE16" s="129"/>
      <c r="AF16" s="1"/>
      <c r="AG16" s="1"/>
      <c r="AH16" s="1"/>
    </row>
    <row r="17" spans="2:34" ht="15" hidden="1">
      <c r="B17" s="55"/>
      <c r="C17" s="51"/>
      <c r="D17" s="51"/>
      <c r="E17" s="51"/>
      <c r="F17" s="51"/>
      <c r="G17" s="51"/>
      <c r="H17" s="51"/>
      <c r="I17" s="55"/>
      <c r="J17" s="55"/>
      <c r="K17" s="55"/>
      <c r="L17" s="55"/>
      <c r="M17" s="55"/>
      <c r="N17" s="55"/>
      <c r="O17" s="55"/>
      <c r="P17" s="1"/>
      <c r="Q17" s="1"/>
      <c r="R17" s="1"/>
      <c r="S17" s="131"/>
      <c r="T17" s="23"/>
      <c r="U17" s="18"/>
      <c r="V17" s="18"/>
      <c r="W17" s="18"/>
      <c r="X17" s="18"/>
      <c r="Y17" s="18"/>
      <c r="Z17" s="18"/>
      <c r="AA17" s="18"/>
      <c r="AB17" s="18"/>
      <c r="AC17" s="18"/>
      <c r="AD17" s="18"/>
      <c r="AE17" s="19"/>
      <c r="AF17" s="1"/>
      <c r="AG17" s="1"/>
      <c r="AH17" s="1"/>
    </row>
    <row r="18" spans="2:34" ht="15" customHeight="1" hidden="1">
      <c r="B18" s="51"/>
      <c r="C18" s="198" t="s">
        <v>122</v>
      </c>
      <c r="D18" s="198"/>
      <c r="E18" s="198"/>
      <c r="F18" s="198"/>
      <c r="G18" s="198"/>
      <c r="H18" s="198"/>
      <c r="I18" s="198"/>
      <c r="J18" s="51"/>
      <c r="K18" s="51"/>
      <c r="L18" s="51"/>
      <c r="M18" s="51"/>
      <c r="N18" s="51"/>
      <c r="O18" s="51"/>
      <c r="S18" s="131"/>
      <c r="T18" s="33"/>
      <c r="U18" s="273" t="s">
        <v>113</v>
      </c>
      <c r="V18" s="273"/>
      <c r="W18" s="273"/>
      <c r="X18" s="1"/>
      <c r="Y18" s="143" t="s">
        <v>97</v>
      </c>
      <c r="Z18" s="143"/>
      <c r="AA18" s="155"/>
      <c r="AB18" s="143" t="s">
        <v>116</v>
      </c>
      <c r="AC18" s="143"/>
      <c r="AD18" s="155"/>
      <c r="AE18" s="34" t="s">
        <v>117</v>
      </c>
      <c r="AF18" s="1"/>
      <c r="AG18" s="1"/>
      <c r="AH18" s="1"/>
    </row>
    <row r="19" spans="2:34" ht="15" customHeight="1" hidden="1">
      <c r="B19" s="51"/>
      <c r="C19" s="78" t="s">
        <v>98</v>
      </c>
      <c r="D19" s="141" t="s">
        <v>186</v>
      </c>
      <c r="E19" s="141"/>
      <c r="F19" s="141"/>
      <c r="G19" s="141"/>
      <c r="H19" s="141"/>
      <c r="I19" s="141"/>
      <c r="J19" s="56"/>
      <c r="K19" s="56"/>
      <c r="L19" s="56"/>
      <c r="M19" s="51"/>
      <c r="N19" s="51"/>
      <c r="O19" s="51"/>
      <c r="S19" s="131"/>
      <c r="T19" s="274" t="s">
        <v>114</v>
      </c>
      <c r="U19" s="267"/>
      <c r="V19" s="267"/>
      <c r="W19" s="267"/>
      <c r="X19" s="1"/>
      <c r="Y19" s="29">
        <f>'Mon Entreprise'!I52</f>
        <v>0</v>
      </c>
      <c r="Z19" s="29"/>
      <c r="AA19" s="30"/>
      <c r="AB19" s="29">
        <f>IF('Mon Entreprise'!I52-'Mon Entreprise'!M52&lt;0,0,'Mon Entreprise'!I52-'Mon Entreprise'!M52)</f>
        <v>0</v>
      </c>
      <c r="AC19" s="1"/>
      <c r="AD19" s="21"/>
      <c r="AE19" s="35">
        <f>_xlfn.IFERROR(1-'Mon Entreprise'!M52/'Mon Entreprise'!I52,0)</f>
        <v>0</v>
      </c>
      <c r="AF19" s="1"/>
      <c r="AG19" s="1"/>
      <c r="AH19" s="1"/>
    </row>
    <row r="20" spans="2:34" ht="15" customHeight="1" hidden="1">
      <c r="B20" s="51"/>
      <c r="C20" s="78"/>
      <c r="D20" s="78" t="str">
        <f>"Nombre de jours de fermetures au mois de Septembre : "&amp;IF(Annexes!M5=FALSE,0,IF(Annexes!O5=1,0,Annexes!O5-1))&amp;" jour(s)"</f>
        <v>Nombre de jours de fermetures au mois de Septembre : 0 jour(s)</v>
      </c>
      <c r="E20" s="78"/>
      <c r="F20" s="78"/>
      <c r="G20" s="78"/>
      <c r="H20" s="78"/>
      <c r="I20" s="78"/>
      <c r="J20" s="51"/>
      <c r="K20" s="51"/>
      <c r="L20" s="51"/>
      <c r="M20" s="51"/>
      <c r="N20" s="51"/>
      <c r="O20" s="51"/>
      <c r="S20" s="131"/>
      <c r="T20" s="274" t="s">
        <v>118</v>
      </c>
      <c r="U20" s="267"/>
      <c r="V20" s="267"/>
      <c r="W20" s="267"/>
      <c r="X20" s="1"/>
      <c r="Y20" s="29">
        <f>'Mon Entreprise'!I44*(Annexes!O5-1)/360</f>
        <v>0</v>
      </c>
      <c r="Z20" s="29"/>
      <c r="AA20" s="30"/>
      <c r="AB20" s="29">
        <f>IF('Mon Entreprise'!I44*(Annexes!O5-1)/360-'Mon Entreprise'!M52&lt;0,0,'Mon Entreprise'!I44*(Annexes!O5-1)/360-'Mon Entreprise'!M52)</f>
        <v>0</v>
      </c>
      <c r="AC20" s="12"/>
      <c r="AD20" s="21"/>
      <c r="AE20" s="35">
        <f>_xlfn.IFERROR(1-'Mon Entreprise'!M52/('Mon Entreprise'!I44*(Annexes!O5-1)/360),0)</f>
        <v>0</v>
      </c>
      <c r="AF20" s="1"/>
      <c r="AG20" s="1"/>
      <c r="AH20" s="1"/>
    </row>
    <row r="21" spans="2:34" ht="15" customHeight="1" hidden="1">
      <c r="B21" s="51"/>
      <c r="C21" s="78"/>
      <c r="D21" s="78"/>
      <c r="E21" s="141" t="str">
        <f>IF(Annexes!M5=FALSE,"Vous n'avez pas coché la case Fermeture administrative de Septembre à Octobre",IF(Annexes!O5=1,"Vous n'avez pas de jour de fermeture en septembre",""))</f>
        <v>Vous n'avez pas coché la case Fermeture administrative de Septembre à Octobre</v>
      </c>
      <c r="F21" s="122"/>
      <c r="G21" s="122"/>
      <c r="H21" s="122"/>
      <c r="I21" s="122"/>
      <c r="J21" s="75"/>
      <c r="K21" s="75"/>
      <c r="L21" s="75"/>
      <c r="M21" s="51"/>
      <c r="N21" s="51"/>
      <c r="O21" s="51"/>
      <c r="S21" s="131"/>
      <c r="T21" s="274" t="s">
        <v>115</v>
      </c>
      <c r="U21" s="267"/>
      <c r="V21" s="267"/>
      <c r="W21" s="267"/>
      <c r="X21" s="1"/>
      <c r="Y21" s="31" t="str">
        <f>_xlfn.IFERROR(IF(AND('Mon Entreprise'!K8&gt;=Annexes!S16,'Mon Entreprise'!K8&lt;=Annexes!U18),'Mon Entreprise'!I85,IF('Mon Entreprise'!K8&gt;=Annexes!U14,'Mon Entreprise'!I78,"NC")),"NC")</f>
        <v>NC</v>
      </c>
      <c r="Z21" s="31"/>
      <c r="AA21" s="30"/>
      <c r="AB21" s="31" t="str">
        <f>_xlfn.IFERROR(IF(AND('Mon Entreprise'!K8&gt;=Annexes!S16,'Mon Entreprise'!K8&lt;=Annexes!U18),IF('Mon Entreprise'!I85-'Mon Entreprise'!I55&lt;0,0,'Mon Entreprise'!I85-'Mon Entreprise'!I55),IF('Mon Entreprise'!K8&gt;=Annexes!U14,IF('Mon Entreprise'!I78-'Mon Entreprise'!I55&lt;0,0,'Mon Entreprise'!I78-'Mon Entreprise'!I55),"NC")),"NC")</f>
        <v>NC</v>
      </c>
      <c r="AC21" s="144"/>
      <c r="AD21" s="21"/>
      <c r="AE21" s="36" t="str">
        <f>_xlfn.IFERROR(IF(AND('Mon Entreprise'!K8&gt;=Annexes!S16,'Mon Entreprise'!K8&lt;=Annexes!S18),1-'Mon Entreprise'!I55/'Mon Entreprise'!I85,IF('Mon Entreprise'!K8&gt;=Annexes!U14,1-'Mon Entreprise'!I55/'Mon Entreprise'!I78,"NC")),"NC")</f>
        <v>NC</v>
      </c>
      <c r="AF21" s="1"/>
      <c r="AG21" s="1"/>
      <c r="AH21" s="1"/>
    </row>
    <row r="22" spans="2:34" ht="15" customHeight="1" hidden="1">
      <c r="B22" s="51"/>
      <c r="C22" s="78"/>
      <c r="D22" s="78" t="str">
        <f>_xlfn.IFERROR(IF('Mon Entreprise'!K8&gt;=Annexes!U14,"Le CA de référence est celui de la création, soit une perte de "&amp;ROUND(AB21,0)&amp;" €"&amp;" ==&gt; "&amp;ROUND(AE21*100,0)&amp;" %",IF(AB19&gt;=AB20,"Le CA de référence est celui de Septembre 2019, soit une perte de "&amp;ROUND(AB19,0)&amp;" €"&amp;" ==&gt; "&amp;ROUND(AE19*100,0)&amp;" %","Le CA de référence est celui de de l'exercice 2019, soit une perte de "&amp;ROUND(AB20,0)&amp;" €"&amp;" ==&gt; "&amp;ROUND(AE20*100,0)&amp;" %")),"")</f>
        <v>Le CA de référence est celui de Septembre 2019, soit une perte de 0 € ==&gt; 0 %</v>
      </c>
      <c r="E22" s="78"/>
      <c r="F22" s="78"/>
      <c r="G22" s="78"/>
      <c r="H22" s="78"/>
      <c r="I22" s="78"/>
      <c r="J22" s="51"/>
      <c r="K22" s="51"/>
      <c r="L22" s="51"/>
      <c r="M22" s="51"/>
      <c r="N22" s="51"/>
      <c r="O22" s="51"/>
      <c r="S22" s="131"/>
      <c r="T22" s="21"/>
      <c r="U22" s="1"/>
      <c r="V22" s="1"/>
      <c r="W22" s="1"/>
      <c r="X22" s="1"/>
      <c r="Y22" s="1"/>
      <c r="Z22" s="1"/>
      <c r="AA22" s="1"/>
      <c r="AB22" s="1"/>
      <c r="AC22" s="1"/>
      <c r="AD22" s="1"/>
      <c r="AE22" s="20"/>
      <c r="AF22" s="1"/>
      <c r="AG22" s="1"/>
      <c r="AH22" s="1"/>
    </row>
    <row r="23" spans="2:34" ht="15" customHeight="1" thickBot="1">
      <c r="B23" s="51"/>
      <c r="C23" s="51"/>
      <c r="D23" s="51"/>
      <c r="E23" s="51"/>
      <c r="F23" s="51"/>
      <c r="G23" s="51"/>
      <c r="H23" s="51"/>
      <c r="I23" s="51"/>
      <c r="J23" s="51"/>
      <c r="K23" s="51"/>
      <c r="L23" s="51"/>
      <c r="M23" s="51"/>
      <c r="N23" s="51"/>
      <c r="O23" s="51"/>
      <c r="S23" s="131"/>
      <c r="T23" s="21"/>
      <c r="U23" s="1"/>
      <c r="V23" s="1"/>
      <c r="W23" s="1"/>
      <c r="X23" s="1"/>
      <c r="Y23" s="1"/>
      <c r="Z23" s="1"/>
      <c r="AA23" s="1"/>
      <c r="AB23" s="1"/>
      <c r="AC23" s="1"/>
      <c r="AD23" s="1"/>
      <c r="AE23" s="20"/>
      <c r="AF23" s="1"/>
      <c r="AG23" s="1"/>
      <c r="AH23" s="1"/>
    </row>
    <row r="24" spans="2:34" ht="15">
      <c r="B24" s="51"/>
      <c r="C24" s="51"/>
      <c r="D24" s="246" t="str">
        <f>_xlfn.IFERROR(IF('Mon Entreprise'!K8="","Vous ne pouvez pas bénéficier du fonds de solidarité pour le mois de Septembre 2020",IF(AB24="NON","Vous avez débuté votre activité après le 31 Août 2020, vous ne pouvez donc pas bénéficier de cette aide pour le mois de Septembre",IF(AB26="Non","Vous n'avez pas eu de fermeture administrative en septembre, vous ne pouvez donc pas bénéficier de cette aide pour le mois de Septembre",IF(AB27&gt;Annexes!S7*(Annexes!O5-1),"Dans votre cas, l'aide est Plafonnée sur 333 €/jour, soit "&amp;Annexes!S7*(Annexes!O5-1)&amp;" €, pour le mois de septembre","Vous pouvez bénéficier, au titre de cette aide, d'un montant "&amp;ROUND(IF(AB27&lt;0,0,AB27),0)&amp;" € pour le mois de septembre")))),"Vous n'avez pas indiqué de chiffre d'affaires de référence")</f>
        <v>Vous ne pouvez pas bénéficier du fonds de solidarité pour le mois de Septembre 2020</v>
      </c>
      <c r="E24" s="247"/>
      <c r="F24" s="247"/>
      <c r="G24" s="247"/>
      <c r="H24" s="247"/>
      <c r="I24" s="247"/>
      <c r="J24" s="247"/>
      <c r="K24" s="247"/>
      <c r="L24" s="247"/>
      <c r="M24" s="247"/>
      <c r="N24" s="247"/>
      <c r="O24" s="248"/>
      <c r="S24" s="131"/>
      <c r="T24" s="21"/>
      <c r="U24" s="268" t="s">
        <v>231</v>
      </c>
      <c r="V24" s="268"/>
      <c r="W24" s="268"/>
      <c r="X24" s="268"/>
      <c r="Y24" s="268"/>
      <c r="Z24" s="158"/>
      <c r="AA24" s="21"/>
      <c r="AB24" s="144" t="str">
        <f>IF('Mon Entreprise'!K8&lt;=Annexes!U18,"Oui","Non")</f>
        <v>Oui</v>
      </c>
      <c r="AC24" s="1"/>
      <c r="AD24" s="1"/>
      <c r="AE24" s="20"/>
      <c r="AF24" s="1"/>
      <c r="AG24" s="1"/>
      <c r="AH24" s="1"/>
    </row>
    <row r="25" spans="2:34" ht="15" customHeight="1">
      <c r="B25" s="1"/>
      <c r="C25" s="1"/>
      <c r="D25" s="249"/>
      <c r="E25" s="250"/>
      <c r="F25" s="250"/>
      <c r="G25" s="250"/>
      <c r="H25" s="250"/>
      <c r="I25" s="250"/>
      <c r="J25" s="250"/>
      <c r="K25" s="250"/>
      <c r="L25" s="250"/>
      <c r="M25" s="250"/>
      <c r="N25" s="250"/>
      <c r="O25" s="251"/>
      <c r="P25" s="1"/>
      <c r="Q25" s="1"/>
      <c r="R25" s="1"/>
      <c r="S25" s="131"/>
      <c r="T25" s="21"/>
      <c r="U25" s="267" t="s">
        <v>240</v>
      </c>
      <c r="V25" s="267"/>
      <c r="W25" s="267"/>
      <c r="X25" s="267"/>
      <c r="Y25" s="267"/>
      <c r="Z25" s="144"/>
      <c r="AA25" s="21"/>
      <c r="AB25" s="144">
        <f>IF(Annexes!M5=FALSE,0,IF(Annexes!O5=1,0,Annexes!O5-1))</f>
        <v>0</v>
      </c>
      <c r="AC25" s="1"/>
      <c r="AD25" s="1"/>
      <c r="AE25" s="20"/>
      <c r="AF25" s="1"/>
      <c r="AG25" s="1"/>
      <c r="AH25" s="1"/>
    </row>
    <row r="26" spans="2:34" ht="15" customHeight="1">
      <c r="B26" s="1"/>
      <c r="C26" s="1"/>
      <c r="D26" s="249"/>
      <c r="E26" s="250"/>
      <c r="F26" s="250"/>
      <c r="G26" s="250"/>
      <c r="H26" s="250"/>
      <c r="I26" s="250"/>
      <c r="J26" s="250"/>
      <c r="K26" s="250"/>
      <c r="L26" s="250"/>
      <c r="M26" s="250"/>
      <c r="N26" s="250"/>
      <c r="O26" s="251"/>
      <c r="P26" s="1"/>
      <c r="Q26" s="1"/>
      <c r="R26" s="1"/>
      <c r="S26" s="1"/>
      <c r="T26" s="21"/>
      <c r="U26" s="267" t="s">
        <v>241</v>
      </c>
      <c r="V26" s="267"/>
      <c r="W26" s="267"/>
      <c r="X26" s="267"/>
      <c r="Y26" s="267"/>
      <c r="Z26" s="144"/>
      <c r="AA26" s="21"/>
      <c r="AB26" s="144" t="str">
        <f>IF(Annexes!M5=FALSE,"Non",IF(Annexes!O5=1,"Non","Oui"))</f>
        <v>Non</v>
      </c>
      <c r="AC26" s="1"/>
      <c r="AD26" s="1"/>
      <c r="AE26" s="20"/>
      <c r="AF26" s="1"/>
      <c r="AG26" s="1"/>
      <c r="AH26" s="1"/>
    </row>
    <row r="27" spans="2:34" ht="15" customHeight="1">
      <c r="B27" s="1"/>
      <c r="C27" s="1"/>
      <c r="D27" s="249"/>
      <c r="E27" s="250"/>
      <c r="F27" s="250"/>
      <c r="G27" s="250"/>
      <c r="H27" s="250"/>
      <c r="I27" s="250"/>
      <c r="J27" s="250"/>
      <c r="K27" s="250"/>
      <c r="L27" s="250"/>
      <c r="M27" s="250"/>
      <c r="N27" s="250"/>
      <c r="O27" s="251"/>
      <c r="P27" s="1"/>
      <c r="Q27" s="1"/>
      <c r="R27" s="1"/>
      <c r="S27" s="1"/>
      <c r="T27" s="21"/>
      <c r="U27" s="267" t="s">
        <v>242</v>
      </c>
      <c r="V27" s="267"/>
      <c r="W27" s="267"/>
      <c r="X27" s="267"/>
      <c r="Y27" s="267"/>
      <c r="Z27" s="159"/>
      <c r="AA27" s="21"/>
      <c r="AB27" s="144">
        <f>IF('Mon Entreprise'!K8&gt;=Annexes!U14,AB21,IF(AE19&gt;=AE20,AB19,AB20))</f>
        <v>0</v>
      </c>
      <c r="AC27" s="1"/>
      <c r="AD27" s="1"/>
      <c r="AE27" s="20"/>
      <c r="AF27" s="1"/>
      <c r="AG27" s="1"/>
      <c r="AH27" s="1"/>
    </row>
    <row r="28" spans="2:34" ht="15.75" thickBot="1">
      <c r="B28" s="1"/>
      <c r="C28" s="1"/>
      <c r="D28" s="252"/>
      <c r="E28" s="253"/>
      <c r="F28" s="253"/>
      <c r="G28" s="253"/>
      <c r="H28" s="253"/>
      <c r="I28" s="253"/>
      <c r="J28" s="253"/>
      <c r="K28" s="253"/>
      <c r="L28" s="253"/>
      <c r="M28" s="253"/>
      <c r="N28" s="253"/>
      <c r="O28" s="254"/>
      <c r="P28" s="1"/>
      <c r="Q28" s="1"/>
      <c r="R28" s="1"/>
      <c r="S28" s="1"/>
      <c r="T28" s="21"/>
      <c r="U28" s="1"/>
      <c r="V28" s="1"/>
      <c r="W28" s="1"/>
      <c r="X28" s="1"/>
      <c r="Y28" s="1"/>
      <c r="Z28" s="1"/>
      <c r="AA28" s="1"/>
      <c r="AB28" s="1"/>
      <c r="AC28" s="1"/>
      <c r="AD28" s="1"/>
      <c r="AE28" s="20"/>
      <c r="AF28" s="1"/>
      <c r="AG28" s="1"/>
      <c r="AH28" s="1"/>
    </row>
    <row r="29" spans="2:34" ht="15">
      <c r="B29" s="1"/>
      <c r="C29" s="1"/>
      <c r="D29" s="73" t="s">
        <v>245</v>
      </c>
      <c r="E29" s="1"/>
      <c r="F29" s="1"/>
      <c r="G29" s="1"/>
      <c r="H29" s="1"/>
      <c r="I29" s="1"/>
      <c r="J29" s="1"/>
      <c r="K29" s="1"/>
      <c r="L29" s="5"/>
      <c r="M29" s="1"/>
      <c r="N29" s="1"/>
      <c r="O29" s="1"/>
      <c r="P29" s="1"/>
      <c r="Q29" s="1"/>
      <c r="R29" s="1"/>
      <c r="S29" s="1"/>
      <c r="T29" s="21"/>
      <c r="U29" s="1"/>
      <c r="V29" s="1"/>
      <c r="W29" s="1"/>
      <c r="X29" s="1"/>
      <c r="Y29" s="1"/>
      <c r="Z29" s="1"/>
      <c r="AA29" s="1"/>
      <c r="AB29" s="1"/>
      <c r="AC29" s="1"/>
      <c r="AD29" s="1"/>
      <c r="AE29" s="20"/>
      <c r="AF29" s="1"/>
      <c r="AG29" s="1"/>
      <c r="AH29" s="1"/>
    </row>
    <row r="30" spans="2:34" ht="15">
      <c r="B30" s="14"/>
      <c r="C30" s="14"/>
      <c r="D30" s="14"/>
      <c r="K30" s="8"/>
      <c r="O30" s="1"/>
      <c r="P30" s="12"/>
      <c r="Q30" s="12"/>
      <c r="R30" s="12"/>
      <c r="S30" s="1"/>
      <c r="T30" s="21"/>
      <c r="U30" s="1"/>
      <c r="V30" s="1"/>
      <c r="W30" s="1"/>
      <c r="X30" s="1"/>
      <c r="Y30" s="1"/>
      <c r="Z30" s="1"/>
      <c r="AA30" s="1"/>
      <c r="AB30" s="1"/>
      <c r="AC30" s="1"/>
      <c r="AD30" s="1"/>
      <c r="AE30" s="20"/>
      <c r="AF30" s="1"/>
      <c r="AG30" s="1"/>
      <c r="AH30" s="1"/>
    </row>
    <row r="31" spans="2:34" ht="15" customHeight="1">
      <c r="B31" s="5"/>
      <c r="C31" s="5"/>
      <c r="D31" s="5"/>
      <c r="O31" s="1"/>
      <c r="P31" s="1"/>
      <c r="Q31" s="1"/>
      <c r="R31" s="1"/>
      <c r="S31" s="1"/>
      <c r="T31" s="21"/>
      <c r="U31" s="1"/>
      <c r="V31" s="1"/>
      <c r="W31" s="1"/>
      <c r="X31" s="1"/>
      <c r="Y31" s="1"/>
      <c r="Z31" s="1"/>
      <c r="AA31" s="1"/>
      <c r="AB31" s="1"/>
      <c r="AC31" s="1"/>
      <c r="AD31" s="1"/>
      <c r="AE31" s="20"/>
      <c r="AF31" s="1"/>
      <c r="AG31" s="1"/>
      <c r="AH31" s="1"/>
    </row>
    <row r="32" spans="2:34" ht="16.5" thickBot="1">
      <c r="B32" s="82"/>
      <c r="C32" s="245" t="s">
        <v>125</v>
      </c>
      <c r="D32" s="245"/>
      <c r="E32" s="245"/>
      <c r="F32" s="245"/>
      <c r="G32" s="245"/>
      <c r="H32" s="245"/>
      <c r="I32" s="82"/>
      <c r="J32" s="82"/>
      <c r="K32" s="82"/>
      <c r="L32" s="82"/>
      <c r="M32" s="82"/>
      <c r="N32" s="82"/>
      <c r="O32" s="82"/>
      <c r="Q32" s="121"/>
      <c r="S32" s="1"/>
      <c r="T32" s="22"/>
      <c r="U32" s="17"/>
      <c r="V32" s="17"/>
      <c r="W32" s="17"/>
      <c r="X32" s="17"/>
      <c r="Y32" s="17"/>
      <c r="Z32" s="17"/>
      <c r="AA32" s="17"/>
      <c r="AB32" s="17"/>
      <c r="AC32" s="17"/>
      <c r="AD32" s="17"/>
      <c r="AE32" s="4"/>
      <c r="AF32" s="1"/>
      <c r="AG32" s="1"/>
      <c r="AH32" s="1"/>
    </row>
    <row r="33" spans="2:34" ht="15">
      <c r="B33" s="55"/>
      <c r="C33" s="51"/>
      <c r="D33" s="51"/>
      <c r="E33" s="51"/>
      <c r="F33" s="51"/>
      <c r="G33" s="51"/>
      <c r="H33" s="136"/>
      <c r="I33" s="55"/>
      <c r="J33" s="55"/>
      <c r="K33" s="55"/>
      <c r="L33" s="55"/>
      <c r="M33" s="55"/>
      <c r="N33" s="55"/>
      <c r="O33" s="55"/>
      <c r="P33" s="1"/>
      <c r="Q33" s="1"/>
      <c r="R33" s="1"/>
      <c r="S33" s="1"/>
      <c r="T33" s="23"/>
      <c r="U33" s="18"/>
      <c r="V33" s="18"/>
      <c r="W33" s="18"/>
      <c r="X33" s="18"/>
      <c r="Y33" s="18"/>
      <c r="Z33" s="18"/>
      <c r="AA33" s="18"/>
      <c r="AB33" s="18"/>
      <c r="AC33" s="18"/>
      <c r="AD33" s="18"/>
      <c r="AE33" s="19"/>
      <c r="AF33" s="1"/>
      <c r="AG33" s="1"/>
      <c r="AH33" s="1"/>
    </row>
    <row r="34" spans="2:31" ht="15" hidden="1">
      <c r="B34" s="51"/>
      <c r="C34" s="78" t="s">
        <v>119</v>
      </c>
      <c r="D34" s="51"/>
      <c r="E34" s="51"/>
      <c r="F34" s="51"/>
      <c r="G34" s="51"/>
      <c r="H34" s="51"/>
      <c r="I34" s="51"/>
      <c r="J34" s="51"/>
      <c r="K34" s="51"/>
      <c r="L34" s="51"/>
      <c r="M34" s="51"/>
      <c r="N34" s="51"/>
      <c r="O34" s="51"/>
      <c r="T34" s="33"/>
      <c r="U34" s="1"/>
      <c r="V34" s="1"/>
      <c r="W34" s="1"/>
      <c r="X34" s="1"/>
      <c r="Y34" s="1"/>
      <c r="Z34" s="1"/>
      <c r="AA34" s="1"/>
      <c r="AB34" s="1"/>
      <c r="AC34" s="1"/>
      <c r="AD34" s="1"/>
      <c r="AE34" s="20"/>
    </row>
    <row r="35" spans="2:31" ht="15" hidden="1">
      <c r="B35" s="51"/>
      <c r="C35" s="78"/>
      <c r="D35" s="148" t="s">
        <v>120</v>
      </c>
      <c r="E35" s="51"/>
      <c r="F35" s="51"/>
      <c r="G35" s="51"/>
      <c r="H35" s="51"/>
      <c r="I35" s="51"/>
      <c r="J35" s="51"/>
      <c r="K35" s="51"/>
      <c r="L35" s="51"/>
      <c r="M35" s="51"/>
      <c r="N35" s="51"/>
      <c r="O35" s="51"/>
      <c r="T35" s="33"/>
      <c r="U35" s="273" t="s">
        <v>113</v>
      </c>
      <c r="V35" s="273"/>
      <c r="W35" s="273"/>
      <c r="X35" s="1"/>
      <c r="Y35" s="143" t="s">
        <v>97</v>
      </c>
      <c r="Z35" s="143"/>
      <c r="AA35" s="143"/>
      <c r="AB35" s="143" t="s">
        <v>116</v>
      </c>
      <c r="AC35" s="143"/>
      <c r="AD35" s="143"/>
      <c r="AE35" s="34" t="s">
        <v>117</v>
      </c>
    </row>
    <row r="36" spans="2:31" ht="15.75" thickBot="1">
      <c r="B36" s="51"/>
      <c r="C36" s="78"/>
      <c r="D36" s="51"/>
      <c r="E36" s="51"/>
      <c r="F36" s="51"/>
      <c r="G36" s="51"/>
      <c r="H36" s="51"/>
      <c r="I36" s="51"/>
      <c r="J36" s="51"/>
      <c r="K36" s="51"/>
      <c r="L36" s="51"/>
      <c r="M36" s="51"/>
      <c r="N36" s="51"/>
      <c r="O36" s="51"/>
      <c r="T36" s="33"/>
      <c r="U36" s="143"/>
      <c r="V36" s="143"/>
      <c r="W36" s="143"/>
      <c r="X36" s="1"/>
      <c r="Y36" s="143"/>
      <c r="Z36" s="143"/>
      <c r="AA36" s="143"/>
      <c r="AB36" s="143"/>
      <c r="AC36" s="143"/>
      <c r="AD36" s="143"/>
      <c r="AE36" s="34"/>
    </row>
    <row r="37" spans="2:31" ht="15">
      <c r="B37" s="51"/>
      <c r="C37" s="51"/>
      <c r="D37" s="246" t="str">
        <f>_xlfn.IFERROR(IF(AND(AB55=0,AB56=0,AB57=0),"Vous ne pouvez pas bénéficier du fonds de solidarité pour le mois d'Octobre 2020",IF(AND(AB55&gt;AB56,AB55&gt;AB57),"Votre entreprise peut bénéficier d'une aide de "&amp;AB55&amp;" €, au titre des entreprises domiciliées dans des zones ayant subi des mesures de couvre-feu avec une perte de CA d'au-moins 50 % du CA en Octobre",IF(AB56&gt;AB57,"Votre entreprise peut bénéficier d'une aide de "&amp;AB56&amp;" €, au titre des entreprises domiciliées hors des zones ayant subi des mesures de couvre-feu avec une perte de CA d'au-moins "&amp;IF(AB47&gt;=0.7,70,50)&amp;" % du CA en Octobre","Votre entreprise peut bénéficier d'une aide de "&amp;AB57&amp;" €, au titre d'une fermeture Administrative au mois d'octobre"))),"Vous n'avez pas indiqué de chiffre d'affaires de référence")</f>
        <v>Vous ne pouvez pas bénéficier du fonds de solidarité pour le mois d'Octobre 2020</v>
      </c>
      <c r="E37" s="247"/>
      <c r="F37" s="247"/>
      <c r="G37" s="247"/>
      <c r="H37" s="247"/>
      <c r="I37" s="247"/>
      <c r="J37" s="247"/>
      <c r="K37" s="247"/>
      <c r="L37" s="247"/>
      <c r="M37" s="247"/>
      <c r="N37" s="247"/>
      <c r="O37" s="248"/>
      <c r="T37" s="274" t="s">
        <v>121</v>
      </c>
      <c r="U37" s="267"/>
      <c r="V37" s="267"/>
      <c r="W37" s="267"/>
      <c r="X37" s="1"/>
      <c r="Y37" s="12">
        <f>'Mon Entreprise'!I58</f>
        <v>0</v>
      </c>
      <c r="Z37" s="29"/>
      <c r="AA37" s="30"/>
      <c r="AB37" s="12">
        <f>IF('Mon Entreprise'!I58-'Mon Entreprise'!M58&lt;0,0,'Mon Entreprise'!I58-'Mon Entreprise'!M58)</f>
        <v>0</v>
      </c>
      <c r="AC37" s="1"/>
      <c r="AD37" s="21"/>
      <c r="AE37" s="35">
        <f>_xlfn.IFERROR(1-'Mon Entreprise'!M58/'Mon Entreprise'!I58,0)</f>
        <v>0</v>
      </c>
    </row>
    <row r="38" spans="4:31" ht="15" customHeight="1">
      <c r="D38" s="249"/>
      <c r="E38" s="250"/>
      <c r="F38" s="250"/>
      <c r="G38" s="250"/>
      <c r="H38" s="250"/>
      <c r="I38" s="250"/>
      <c r="J38" s="250"/>
      <c r="K38" s="250"/>
      <c r="L38" s="250"/>
      <c r="M38" s="250"/>
      <c r="N38" s="250"/>
      <c r="O38" s="251"/>
      <c r="T38" s="274" t="s">
        <v>118</v>
      </c>
      <c r="U38" s="267"/>
      <c r="V38" s="267"/>
      <c r="W38" s="267"/>
      <c r="X38" s="1"/>
      <c r="Y38" s="12">
        <f>'Mon Entreprise'!I46</f>
        <v>0</v>
      </c>
      <c r="Z38" s="29"/>
      <c r="AA38" s="30"/>
      <c r="AB38" s="12">
        <f>IF('Mon Entreprise'!I46-'Mon Entreprise'!M58&lt;0,0,'Mon Entreprise'!I46-'Mon Entreprise'!M58)</f>
        <v>0</v>
      </c>
      <c r="AC38" s="12"/>
      <c r="AD38" s="21"/>
      <c r="AE38" s="35">
        <f>_xlfn.IFERROR(1-'Mon Entreprise'!M58/'Mon Entreprise'!I46,0)</f>
        <v>0</v>
      </c>
    </row>
    <row r="39" spans="3:32" ht="15" customHeight="1">
      <c r="C39" s="126"/>
      <c r="D39" s="249"/>
      <c r="E39" s="250"/>
      <c r="F39" s="250"/>
      <c r="G39" s="250"/>
      <c r="H39" s="250"/>
      <c r="I39" s="250"/>
      <c r="J39" s="250"/>
      <c r="K39" s="250"/>
      <c r="L39" s="250"/>
      <c r="M39" s="250"/>
      <c r="N39" s="250"/>
      <c r="O39" s="251"/>
      <c r="Q39" s="121"/>
      <c r="R39" s="121"/>
      <c r="S39" s="121"/>
      <c r="T39" s="277" t="s">
        <v>115</v>
      </c>
      <c r="U39" s="278"/>
      <c r="V39" s="278"/>
      <c r="W39" s="278"/>
      <c r="X39" s="175"/>
      <c r="Y39" s="176" t="str">
        <f>IF('Mon Entreprise'!I77="","NC",'Mon Entreprise'!I77)</f>
        <v>NC</v>
      </c>
      <c r="Z39" s="177"/>
      <c r="AA39" s="178"/>
      <c r="AB39" s="179" t="str">
        <f>_xlfn.IFERROR(IF('Mon Entreprise'!I77-'Mon Entreprise'!M58&lt;0,0,'Mon Entreprise'!I77-'Mon Entreprise'!M58),"NC")</f>
        <v>NC</v>
      </c>
      <c r="AC39" s="180"/>
      <c r="AD39" s="181"/>
      <c r="AE39" s="182" t="str">
        <f>_xlfn.IFERROR(1-'Mon Entreprise'!M58/'Mon Entreprise'!I77,"NC")</f>
        <v>NC</v>
      </c>
      <c r="AF39" s="121"/>
    </row>
    <row r="40" spans="3:31" ht="15" customHeight="1">
      <c r="C40" s="126"/>
      <c r="D40" s="249"/>
      <c r="E40" s="250"/>
      <c r="F40" s="250"/>
      <c r="G40" s="250"/>
      <c r="H40" s="250"/>
      <c r="I40" s="250"/>
      <c r="J40" s="250"/>
      <c r="K40" s="250"/>
      <c r="L40" s="250"/>
      <c r="M40" s="250"/>
      <c r="N40" s="250"/>
      <c r="O40" s="251"/>
      <c r="T40" s="21"/>
      <c r="U40" s="1"/>
      <c r="V40" s="1"/>
      <c r="W40" s="1"/>
      <c r="X40" s="1"/>
      <c r="Y40" s="1"/>
      <c r="Z40" s="1"/>
      <c r="AA40" s="1"/>
      <c r="AB40" s="1"/>
      <c r="AC40" s="1"/>
      <c r="AD40" s="1"/>
      <c r="AE40" s="20"/>
    </row>
    <row r="41" spans="3:31" ht="15.75" customHeight="1" thickBot="1">
      <c r="C41" s="126"/>
      <c r="D41" s="252"/>
      <c r="E41" s="253"/>
      <c r="F41" s="253"/>
      <c r="G41" s="253"/>
      <c r="H41" s="253"/>
      <c r="I41" s="253"/>
      <c r="J41" s="253"/>
      <c r="K41" s="253"/>
      <c r="L41" s="253"/>
      <c r="M41" s="253"/>
      <c r="N41" s="253"/>
      <c r="O41" s="254"/>
      <c r="T41" s="276" t="s">
        <v>94</v>
      </c>
      <c r="U41" s="268"/>
      <c r="V41" s="268"/>
      <c r="W41" s="268"/>
      <c r="X41" s="268"/>
      <c r="Y41" s="268"/>
      <c r="Z41" s="153"/>
      <c r="AA41" s="21"/>
      <c r="AB41" s="27">
        <f>_xlfn.IFERROR(IF('Mon Entreprise'!K8&lt;Annexes!U19,IF(1-'Mon Entreprise'!M62/'Mon Entreprise'!I62&gt;=1-'Mon Entreprise'!M62/('Mon Entreprise'!I46*2),1-'Mon Entreprise'!M62/'Mon Entreprise'!I62,1-'Mon Entreprise'!M62/('Mon Entreprise'!I46*2)),1-'Mon Entreprise'!M62/'Mon Entreprise'!I70),0)</f>
        <v>0</v>
      </c>
      <c r="AC41" s="1"/>
      <c r="AD41" s="1"/>
      <c r="AE41" s="20"/>
    </row>
    <row r="42" spans="3:31" ht="18.75" customHeight="1" hidden="1">
      <c r="C42" s="102"/>
      <c r="D42" s="102"/>
      <c r="E42" s="102"/>
      <c r="F42" s="102"/>
      <c r="G42" s="102"/>
      <c r="H42" s="102"/>
      <c r="I42" s="102"/>
      <c r="J42" s="102"/>
      <c r="K42" s="102"/>
      <c r="L42" s="102"/>
      <c r="M42" s="102"/>
      <c r="N42" s="102"/>
      <c r="O42" s="102"/>
      <c r="T42" s="21"/>
      <c r="U42" s="268" t="s">
        <v>99</v>
      </c>
      <c r="V42" s="268"/>
      <c r="W42" s="268"/>
      <c r="X42" s="268"/>
      <c r="Y42" s="268"/>
      <c r="Z42" s="153"/>
      <c r="AA42" s="21"/>
      <c r="AB42" s="144" t="str">
        <f>IF((AND(Annexes!F5&gt;1,Annexes!F5&lt;61)),"OUI","NON")</f>
        <v>NON</v>
      </c>
      <c r="AC42" s="1"/>
      <c r="AD42" s="1"/>
      <c r="AE42" s="20"/>
    </row>
    <row r="43" spans="20:31" ht="15" customHeight="1" hidden="1">
      <c r="T43" s="21"/>
      <c r="U43" s="275" t="s">
        <v>100</v>
      </c>
      <c r="V43" s="275"/>
      <c r="W43" s="275"/>
      <c r="X43" s="275"/>
      <c r="Y43" s="275"/>
      <c r="Z43" s="154"/>
      <c r="AA43" s="21"/>
      <c r="AB43" s="144" t="str">
        <f>IF((AND(Annexes!F7&gt;1,Annexes!F7&lt;87)),"OUI","NON")</f>
        <v>NON</v>
      </c>
      <c r="AC43" s="1"/>
      <c r="AD43" s="1"/>
      <c r="AE43" s="20"/>
    </row>
    <row r="44" spans="3:31" ht="15" customHeight="1" hidden="1">
      <c r="C44" s="255" t="s">
        <v>229</v>
      </c>
      <c r="D44" s="255"/>
      <c r="E44" s="255"/>
      <c r="F44" s="255"/>
      <c r="G44" s="255"/>
      <c r="H44" s="255"/>
      <c r="I44" s="255"/>
      <c r="J44" s="255"/>
      <c r="K44" s="255"/>
      <c r="L44" s="255"/>
      <c r="M44" s="255"/>
      <c r="N44" s="255"/>
      <c r="O44" s="255"/>
      <c r="T44" s="21"/>
      <c r="U44" s="268" t="s">
        <v>230</v>
      </c>
      <c r="V44" s="268"/>
      <c r="W44" s="268"/>
      <c r="X44" s="268"/>
      <c r="Y44" s="268"/>
      <c r="Z44" s="153"/>
      <c r="AA44" s="21"/>
      <c r="AB44" s="144">
        <f>IF(AB42="OUI",Annexes!S6,IF(AND(AB43="OUI",AB41&gt;=0.8),Annexes!S6,Annexes!S5))</f>
        <v>1500</v>
      </c>
      <c r="AC44" s="1"/>
      <c r="AD44" s="1"/>
      <c r="AE44" s="20"/>
    </row>
    <row r="45" spans="3:31" ht="15" customHeight="1" hidden="1">
      <c r="C45" s="255"/>
      <c r="D45" s="255"/>
      <c r="E45" s="255"/>
      <c r="F45" s="255"/>
      <c r="G45" s="255"/>
      <c r="H45" s="255"/>
      <c r="I45" s="255"/>
      <c r="J45" s="255"/>
      <c r="K45" s="255"/>
      <c r="L45" s="255"/>
      <c r="M45" s="255"/>
      <c r="N45" s="255"/>
      <c r="O45" s="255"/>
      <c r="T45" s="21"/>
      <c r="U45" s="268" t="s">
        <v>231</v>
      </c>
      <c r="V45" s="268"/>
      <c r="W45" s="268"/>
      <c r="X45" s="268"/>
      <c r="Y45" s="268"/>
      <c r="Z45" s="153"/>
      <c r="AA45" s="21"/>
      <c r="AB45" s="144" t="str">
        <f>IF('Mon Entreprise'!K8&lt;=Annexes!S18,"Oui","Non")</f>
        <v>Oui</v>
      </c>
      <c r="AC45" s="1"/>
      <c r="AD45" s="1"/>
      <c r="AE45" s="20"/>
    </row>
    <row r="46" spans="3:31" ht="15" customHeight="1" hidden="1">
      <c r="C46" s="76"/>
      <c r="D46" s="148" t="str">
        <f>IF(Annexes!M9=FALSE,"- L'entreprise ne semble pas avoir été impactée par le couvre-Feu de 21H à 6H","- L'entreprise a été impactée par le couvre-Feu de 21H à 6H")</f>
        <v>- L'entreprise ne semble pas avoir été impactée par le couvre-Feu de 21H à 6H</v>
      </c>
      <c r="E46" s="77"/>
      <c r="F46" s="77"/>
      <c r="G46" s="77"/>
      <c r="H46" s="77"/>
      <c r="I46" s="77"/>
      <c r="J46" s="77"/>
      <c r="K46" s="77"/>
      <c r="L46" s="77"/>
      <c r="M46" s="148"/>
      <c r="N46" s="148"/>
      <c r="O46" s="148"/>
      <c r="T46" s="21"/>
      <c r="U46" s="268" t="s">
        <v>234</v>
      </c>
      <c r="V46" s="268"/>
      <c r="W46" s="268"/>
      <c r="X46" s="268"/>
      <c r="Y46" s="268"/>
      <c r="Z46" s="153"/>
      <c r="AA46" s="21"/>
      <c r="AB46" s="1">
        <f>IF('Mon Entreprise'!K8&gt;=Annexes!U14,AB39,IF(AB37&gt;=AB38,AB37,AB38))</f>
        <v>0</v>
      </c>
      <c r="AC46" s="1"/>
      <c r="AD46" s="1"/>
      <c r="AE46" s="20"/>
    </row>
    <row r="47" spans="3:31" ht="15" customHeight="1" hidden="1">
      <c r="C47" s="76"/>
      <c r="D47" s="256" t="str">
        <f>IF(AB42="OUI","- L'entreprise est mentionnée en annexe 1 (S1) du décret 2020-1328, et peut bénéficier à ce titre d'une aide plafonné à 10 000 €",IF(AND(AB43="OUI",AB41&gt;=0.8),"-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7" s="256"/>
      <c r="F47" s="256"/>
      <c r="G47" s="256"/>
      <c r="H47" s="256"/>
      <c r="I47" s="256"/>
      <c r="J47" s="256"/>
      <c r="K47" s="256"/>
      <c r="L47" s="256"/>
      <c r="M47" s="256"/>
      <c r="N47" s="256"/>
      <c r="O47" s="256"/>
      <c r="T47" s="21"/>
      <c r="U47" s="268" t="s">
        <v>235</v>
      </c>
      <c r="V47" s="268"/>
      <c r="W47" s="268"/>
      <c r="X47" s="268"/>
      <c r="Y47" s="268"/>
      <c r="Z47" s="153"/>
      <c r="AA47" s="21"/>
      <c r="AB47" s="13">
        <f>IF('Mon Entreprise'!K8&gt;=Annexes!U14,AE39,IF(AB37&gt;=AB38,AE37,AE38))</f>
        <v>0</v>
      </c>
      <c r="AC47" s="1"/>
      <c r="AD47" s="1"/>
      <c r="AE47" s="20"/>
    </row>
    <row r="48" spans="3:31" ht="15" customHeight="1" hidden="1">
      <c r="C48" s="76"/>
      <c r="D48" s="256"/>
      <c r="E48" s="256"/>
      <c r="F48" s="256"/>
      <c r="G48" s="256"/>
      <c r="H48" s="256"/>
      <c r="I48" s="256"/>
      <c r="J48" s="256"/>
      <c r="K48" s="256"/>
      <c r="L48" s="256"/>
      <c r="M48" s="256"/>
      <c r="N48" s="256"/>
      <c r="O48" s="256"/>
      <c r="T48" s="21"/>
      <c r="U48" s="268" t="s">
        <v>232</v>
      </c>
      <c r="V48" s="268"/>
      <c r="W48" s="268"/>
      <c r="X48" s="268"/>
      <c r="Y48" s="268"/>
      <c r="Z48" s="153"/>
      <c r="AA48" s="21"/>
      <c r="AB48" s="1">
        <f>IF(AB47&gt;=0.7,IF(AB42="OUI",Annexes!S6,IF(AND(AB43="OUI",AB41&gt;=0.8),Annexes!S6,0)),IF(AB47&gt;=0.5,IF(AB42="OUI",Annexes!S5,IF(AND(AB43="OUI",AB41&gt;=0.8),Annexes!S5,0)),0))</f>
        <v>0</v>
      </c>
      <c r="AC48" s="1"/>
      <c r="AD48" s="1"/>
      <c r="AE48" s="20"/>
    </row>
    <row r="49" spans="3:31" ht="15" customHeight="1" hidden="1">
      <c r="C49" s="76"/>
      <c r="D49" s="148" t="str">
        <f>_xlfn.IFERROR(IF('Mon Entreprise'!K8&gt;=Annexes!U14,"- Le CA de référence est celui de la création, soit une perte de "&amp;ROUND(AB39,0)&amp;" €"&amp;" ==&gt; "&amp;ROUND(AE39*100,0)&amp;" %",IF(AE37&gt;=AE38,"-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49" s="148"/>
      <c r="F49" s="148"/>
      <c r="G49" s="148"/>
      <c r="H49" s="148"/>
      <c r="I49" s="148"/>
      <c r="J49" s="148"/>
      <c r="K49" s="148"/>
      <c r="L49" s="148"/>
      <c r="M49" s="148"/>
      <c r="N49" s="148"/>
      <c r="O49" s="148"/>
      <c r="T49" s="21"/>
      <c r="U49" s="268" t="s">
        <v>233</v>
      </c>
      <c r="V49" s="268"/>
      <c r="W49" s="268"/>
      <c r="X49" s="268"/>
      <c r="Y49" s="268"/>
      <c r="Z49" s="153"/>
      <c r="AA49" s="21"/>
      <c r="AB49" s="1">
        <f>IF(AB47&gt;=0.7,IF(AB42="OUI",Annexes!T6,IF(AND(AB43="OUI",AB41&gt;=0.8),Annexes!T6,1)),1)</f>
        <v>1</v>
      </c>
      <c r="AC49" s="1"/>
      <c r="AD49" s="1"/>
      <c r="AE49" s="20"/>
    </row>
    <row r="50" spans="3:31" ht="15" customHeight="1" hidden="1" thickBot="1">
      <c r="C50" s="76"/>
      <c r="D50" s="76"/>
      <c r="E50" s="76"/>
      <c r="F50" s="76"/>
      <c r="G50" s="76"/>
      <c r="H50" s="76"/>
      <c r="I50" s="76"/>
      <c r="J50" s="76"/>
      <c r="K50" s="76"/>
      <c r="L50" s="76"/>
      <c r="M50" s="76"/>
      <c r="N50" s="76"/>
      <c r="O50" s="76"/>
      <c r="T50" s="21"/>
      <c r="U50" s="1"/>
      <c r="V50" s="1"/>
      <c r="W50" s="1"/>
      <c r="X50" s="1"/>
      <c r="Y50" s="1"/>
      <c r="Z50" s="1"/>
      <c r="AA50" s="1"/>
      <c r="AB50" s="1"/>
      <c r="AC50" s="1"/>
      <c r="AD50" s="1"/>
      <c r="AE50" s="20"/>
    </row>
    <row r="51" spans="4:31" ht="15.75" customHeight="1" hidden="1">
      <c r="D51" s="258" t="str">
        <f>_xlfn.IFERROR(IF(AB45="Non","Vous avez débuté votre activité après le 30 Septembre 2020, vous ne pouvez donc pas bénéficier de cette aide",IF(Annexes!M9=FALSE,"L'entreprise ne semble pas avoir été impactée par le couvre-Feu de 21H à 6H",IF(AB47&gt;=0.5,IF(AB44=Annexes!S6,IF(AB46&gt;=Annexes!S6,"Dans votre cas, l'aide est Plafonnée, à "&amp;Annexes!S6&amp;" € pour le mois d'octobre",IF(AB46=0,"Vous n'avez pas indiqué de CA de référence","Vous pouvez bénéficier, au titre de cette aide, d'un montant "&amp;ROUND(AB46,0)&amp;" € pour le mois d'octobre")),IF(AB44=Annexes!S5,IF(AB46&gt;Annexes!S5,"Dans votre cas, l'aide est Plafonnée, à "&amp;Annexes!S5&amp;" € pour le mois d'octobre",IF(AB46=0,"Vous n'avez pas indiqué de CA de référence","Vous pouvez bénéficier, au titre de cette aide, d'un montant "&amp;ROUND(AB46,0)&amp;" € pour le mois d'octobre.")),)),"L'entreprise n'a pas subi de perte d'au-moins 50 % sur son CA d'Octobre 2020"))),"Vous n'avez pas indiqué de chiffre d'affaires de référence")</f>
        <v>L'entreprise ne semble pas avoir été impactée par le couvre-Feu de 21H à 6H</v>
      </c>
      <c r="E51" s="259"/>
      <c r="F51" s="259"/>
      <c r="G51" s="259"/>
      <c r="H51" s="259"/>
      <c r="I51" s="259"/>
      <c r="J51" s="259"/>
      <c r="K51" s="259"/>
      <c r="L51" s="259"/>
      <c r="M51" s="259"/>
      <c r="N51" s="259"/>
      <c r="O51" s="260"/>
      <c r="T51" s="21"/>
      <c r="U51" s="1"/>
      <c r="V51" s="1"/>
      <c r="W51" s="1"/>
      <c r="X51" s="1"/>
      <c r="Y51" s="1"/>
      <c r="Z51" s="1"/>
      <c r="AA51" s="1"/>
      <c r="AB51" s="1"/>
      <c r="AC51" s="1"/>
      <c r="AD51" s="1"/>
      <c r="AE51" s="20"/>
    </row>
    <row r="52" spans="4:31" ht="15" customHeight="1" hidden="1">
      <c r="D52" s="261"/>
      <c r="E52" s="262"/>
      <c r="F52" s="262"/>
      <c r="G52" s="262"/>
      <c r="H52" s="262"/>
      <c r="I52" s="262"/>
      <c r="J52" s="262"/>
      <c r="K52" s="262"/>
      <c r="L52" s="262"/>
      <c r="M52" s="262"/>
      <c r="N52" s="262"/>
      <c r="O52" s="263"/>
      <c r="T52" s="21"/>
      <c r="U52" s="1"/>
      <c r="V52" s="1"/>
      <c r="W52" s="1"/>
      <c r="X52" s="1"/>
      <c r="Y52" s="1"/>
      <c r="Z52" s="1"/>
      <c r="AA52" s="1"/>
      <c r="AB52" s="1"/>
      <c r="AC52" s="1"/>
      <c r="AD52" s="1"/>
      <c r="AE52" s="20"/>
    </row>
    <row r="53" spans="4:31" ht="15" customHeight="1" hidden="1">
      <c r="D53" s="261"/>
      <c r="E53" s="262"/>
      <c r="F53" s="262"/>
      <c r="G53" s="262"/>
      <c r="H53" s="262"/>
      <c r="I53" s="262"/>
      <c r="J53" s="262"/>
      <c r="K53" s="262"/>
      <c r="L53" s="262"/>
      <c r="M53" s="262"/>
      <c r="N53" s="262"/>
      <c r="O53" s="263"/>
      <c r="T53" s="21"/>
      <c r="U53" s="1"/>
      <c r="V53" s="1"/>
      <c r="W53" s="1"/>
      <c r="X53" s="1"/>
      <c r="Y53" s="1"/>
      <c r="Z53" s="1"/>
      <c r="AA53" s="1"/>
      <c r="AB53" s="1"/>
      <c r="AC53" s="1"/>
      <c r="AD53" s="1"/>
      <c r="AE53" s="20"/>
    </row>
    <row r="54" spans="4:31" ht="15" customHeight="1" hidden="1" thickBot="1">
      <c r="D54" s="264"/>
      <c r="E54" s="265"/>
      <c r="F54" s="265"/>
      <c r="G54" s="265"/>
      <c r="H54" s="265"/>
      <c r="I54" s="265"/>
      <c r="J54" s="265"/>
      <c r="K54" s="265"/>
      <c r="L54" s="265"/>
      <c r="M54" s="265"/>
      <c r="N54" s="265"/>
      <c r="O54" s="266"/>
      <c r="T54" s="21"/>
      <c r="U54" s="1"/>
      <c r="V54" s="1"/>
      <c r="W54" s="1"/>
      <c r="X54" s="1"/>
      <c r="Y54" s="1"/>
      <c r="Z54" s="1"/>
      <c r="AA54" s="1"/>
      <c r="AB54" s="1"/>
      <c r="AC54" s="1"/>
      <c r="AD54" s="1"/>
      <c r="AE54" s="20"/>
    </row>
    <row r="55" spans="20:31" ht="15.75" customHeight="1" hidden="1">
      <c r="T55" s="21"/>
      <c r="U55" s="267" t="s">
        <v>236</v>
      </c>
      <c r="V55" s="267"/>
      <c r="W55" s="267"/>
      <c r="X55" s="267"/>
      <c r="Y55" s="267"/>
      <c r="Z55" s="1"/>
      <c r="AA55" s="21"/>
      <c r="AB55" s="1">
        <f>_xlfn.IFERROR(IF(AB45="Non",0,IF(Annexes!M9=FALSE,0,IF(AB47&gt;=0.5,IF(AB44=Annexes!S6,IF(AB46&gt;=Annexes!S6,Annexes!S6,IF(AB46=0,0,ROUND(AB46,0))),IF(AB44=Annexes!S5,IF(AB46&gt;Annexes!S5,Annexes!S5,IF(AB46=0,0,ROUND(AB46,0))),)),0))),0)</f>
        <v>0</v>
      </c>
      <c r="AC55" s="1"/>
      <c r="AD55" s="1"/>
      <c r="AE55" s="20"/>
    </row>
    <row r="56" spans="3:31" ht="15" customHeight="1" hidden="1">
      <c r="C56" s="100"/>
      <c r="D56" s="100"/>
      <c r="E56" s="100"/>
      <c r="F56" s="100"/>
      <c r="G56" s="100"/>
      <c r="H56" s="100"/>
      <c r="I56" s="100"/>
      <c r="J56" s="100"/>
      <c r="K56" s="100"/>
      <c r="L56" s="100"/>
      <c r="M56" s="100"/>
      <c r="N56" s="100"/>
      <c r="O56" s="100"/>
      <c r="T56" s="21"/>
      <c r="U56" s="267" t="s">
        <v>237</v>
      </c>
      <c r="V56" s="267"/>
      <c r="W56" s="267"/>
      <c r="X56" s="267"/>
      <c r="Y56" s="267"/>
      <c r="Z56" s="1"/>
      <c r="AA56" s="21"/>
      <c r="AB56" s="1">
        <f>_xlfn.IFERROR(IF(AB45="Non",0,IF(AB47&gt;=0.7,IF(AB42="OUI",IF(AB46*AB49&gt;=Annexes!S6,Annexes!S6,ROUND(AB46*AB49,0)),IF(AND(AB43="OUI",AB41&gt;=0.8),IF(AB46*AB49&gt;=Annexes!S6,Annexes!S6,ROUND(AB46*AB49,0)),0)),IF(AB47&gt;=0.5,IF(AB42="OUI",IF(AB46&gt;=Annexes!S5,Annexes!S5,ROUND(AB46,0)),IF(AND(AB43="OUI",AB41&gt;=0.8),IF(AB46&gt;=Annexes!S5,Annexes!S5,ROUND(AB46,0)),0)),0))),0)</f>
        <v>0</v>
      </c>
      <c r="AC56" s="1"/>
      <c r="AD56" s="1"/>
      <c r="AE56" s="20"/>
    </row>
    <row r="57" spans="20:31" ht="15" customHeight="1" hidden="1">
      <c r="T57" s="21"/>
      <c r="U57" s="267" t="s">
        <v>238</v>
      </c>
      <c r="V57" s="267"/>
      <c r="W57" s="267"/>
      <c r="X57" s="267"/>
      <c r="Y57" s="267"/>
      <c r="Z57" s="1"/>
      <c r="AA57" s="21"/>
      <c r="AB57" s="1">
        <f>_xlfn.IFERROR(IF(AB81="NON",0,IF(AB83="Non",0,IF(AB84&gt;Annexes!S7*(Annexes!Q5-1),IF(Annexes!S7*(Annexes!Q5-1)&gt;10000,10000,Annexes!S7*(Annexes!Q5-1)),ROUND(IF(AB84&gt;10000,10000,AB84),0)))),0)</f>
        <v>0</v>
      </c>
      <c r="AC57" s="1"/>
      <c r="AD57" s="1"/>
      <c r="AE57" s="20"/>
    </row>
    <row r="58" spans="3:31" ht="15" customHeight="1" hidden="1">
      <c r="C58" s="271" t="s">
        <v>239</v>
      </c>
      <c r="D58" s="271"/>
      <c r="E58" s="271"/>
      <c r="F58" s="271"/>
      <c r="G58" s="271"/>
      <c r="H58" s="271"/>
      <c r="I58" s="271"/>
      <c r="J58" s="271"/>
      <c r="K58" s="271"/>
      <c r="L58" s="271"/>
      <c r="M58" s="271"/>
      <c r="N58" s="271"/>
      <c r="O58" s="271"/>
      <c r="P58" s="51"/>
      <c r="T58" s="21"/>
      <c r="U58" s="1"/>
      <c r="V58" s="1"/>
      <c r="W58" s="1"/>
      <c r="X58" s="1"/>
      <c r="Y58" s="1"/>
      <c r="Z58" s="1"/>
      <c r="AA58" s="1"/>
      <c r="AB58" s="1"/>
      <c r="AC58" s="1"/>
      <c r="AD58" s="1"/>
      <c r="AE58" s="20"/>
    </row>
    <row r="59" spans="3:31" ht="15" customHeight="1" hidden="1">
      <c r="C59" s="271"/>
      <c r="D59" s="271"/>
      <c r="E59" s="271"/>
      <c r="F59" s="271"/>
      <c r="G59" s="271"/>
      <c r="H59" s="271"/>
      <c r="I59" s="271"/>
      <c r="J59" s="271"/>
      <c r="K59" s="271"/>
      <c r="L59" s="271"/>
      <c r="M59" s="271"/>
      <c r="N59" s="271"/>
      <c r="O59" s="271"/>
      <c r="P59" s="51"/>
      <c r="T59" s="21"/>
      <c r="U59" s="1"/>
      <c r="V59" s="1"/>
      <c r="W59" s="1"/>
      <c r="X59" s="1"/>
      <c r="Y59" s="1"/>
      <c r="Z59" s="1"/>
      <c r="AA59" s="1"/>
      <c r="AB59" s="1"/>
      <c r="AC59" s="1"/>
      <c r="AD59" s="1"/>
      <c r="AE59" s="20"/>
    </row>
    <row r="60" spans="3:31" ht="15" customHeight="1" hidden="1">
      <c r="C60" s="78"/>
      <c r="D60" s="257" t="str">
        <f>IF(AB47&gt;=0.7,IF(AB42="OUI","- L'entreprise a subi une perte d'au-moins 70 % en Octobre 2020 et est mentionnée en annexe 1 (S1) du décret 2020-1328, l'entreprise peut bénéficier à ce titre d'une aide plafonné à 10 000 €",IF(AND(AB43="OUI",AB41&gt;=0.8),"-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aide")),IF(AB47&gt;=0.5,IF(AB42="OUI","- L'entreprise a subi une perte d'au-moins 50 % en Octobre 2020 et est mentionnée en annexe 1 (S1) du décret 2020-1328, l'entreprise peut bénéficier à ce titre d'une aide plafonné à 1 500 €",IF(AND(AB43="OUI",AB41&gt;=0.8),"-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0" s="257"/>
      <c r="F60" s="257"/>
      <c r="G60" s="257"/>
      <c r="H60" s="257"/>
      <c r="I60" s="257"/>
      <c r="J60" s="257"/>
      <c r="K60" s="257"/>
      <c r="L60" s="257"/>
      <c r="M60" s="257"/>
      <c r="N60" s="257"/>
      <c r="O60" s="257"/>
      <c r="P60" s="51"/>
      <c r="T60" s="21"/>
      <c r="U60" s="1"/>
      <c r="V60" s="1"/>
      <c r="W60" s="1"/>
      <c r="X60" s="1"/>
      <c r="Y60" s="1"/>
      <c r="Z60" s="1"/>
      <c r="AA60" s="1"/>
      <c r="AB60" s="1"/>
      <c r="AC60" s="1"/>
      <c r="AD60" s="1"/>
      <c r="AE60" s="20"/>
    </row>
    <row r="61" spans="3:31" ht="15" customHeight="1" hidden="1">
      <c r="C61" s="78"/>
      <c r="D61" s="257"/>
      <c r="E61" s="257"/>
      <c r="F61" s="257"/>
      <c r="G61" s="257"/>
      <c r="H61" s="257"/>
      <c r="I61" s="257"/>
      <c r="J61" s="257"/>
      <c r="K61" s="257"/>
      <c r="L61" s="257"/>
      <c r="M61" s="257"/>
      <c r="N61" s="257"/>
      <c r="O61" s="257"/>
      <c r="P61" s="51"/>
      <c r="T61" s="145"/>
      <c r="U61" s="1"/>
      <c r="V61" s="1"/>
      <c r="W61" s="1"/>
      <c r="X61" s="1"/>
      <c r="Y61" s="1"/>
      <c r="Z61" s="1"/>
      <c r="AA61" s="1"/>
      <c r="AB61" s="1"/>
      <c r="AC61" s="1"/>
      <c r="AD61" s="1"/>
      <c r="AE61" s="20"/>
    </row>
    <row r="62" spans="3:31" ht="15" customHeight="1" hidden="1">
      <c r="C62" s="78"/>
      <c r="D62" s="78" t="str">
        <f>_xlfn.IFERROR(IF('Mon Entreprise'!K8&gt;=Annexes!U14,"- Le CA de référence est celui de la création, soit une perte de "&amp;ROUND(AB39,0)&amp;" €"&amp;" ==&gt; "&amp;ROUND(AE39*100,0)&amp;" %",IF(AB37&gt;=AB38,"- Le CA de référence est celui de Octobre 2019, soit une perte de "&amp;ROUND(AB37,0)&amp;" €"&amp;" ==&gt; "&amp;ROUND(AE37*100,0)&amp;" %","- Le CA de référence est celui de de l'exercice 2019, soit une perte de "&amp;ROUND(AB38,0)&amp;" €"&amp;" ==&gt; "&amp;ROUND(AE38*100,0)&amp;" %")),"")</f>
        <v>- Le CA de référence est celui de Octobre 2019, soit une perte de 0 € ==&gt; 0 %</v>
      </c>
      <c r="E62" s="78"/>
      <c r="F62" s="78"/>
      <c r="G62" s="78"/>
      <c r="H62" s="151"/>
      <c r="I62" s="78"/>
      <c r="J62" s="78"/>
      <c r="K62" s="78"/>
      <c r="M62" s="78"/>
      <c r="N62" s="78"/>
      <c r="O62" s="78"/>
      <c r="P62" s="51"/>
      <c r="T62" s="37"/>
      <c r="U62" s="1"/>
      <c r="V62" s="1"/>
      <c r="W62" s="1"/>
      <c r="X62" s="1"/>
      <c r="Y62" s="1"/>
      <c r="Z62" s="1"/>
      <c r="AA62" s="1"/>
      <c r="AB62" s="1"/>
      <c r="AC62" s="1"/>
      <c r="AD62" s="1"/>
      <c r="AE62" s="20"/>
    </row>
    <row r="63" spans="3:31" ht="15" customHeight="1" hidden="1">
      <c r="C63" s="78"/>
      <c r="D63" s="78" t="str">
        <f>IF(AB47&gt;=0.7,IF(AB42="OUI","- Le CA de référence est plafonné à 60 %, il est donc de "&amp;ROUND(AB46*0.6,0)&amp;" €",IF(AND(AB43="OUI",AB41&gt;=0.8),"- Le CA de référence est plafonné à 60 %, il est donc de "&amp;ROUND(AB46*0.6,0)&amp;" €","- Sans ticket modérateur")),"- Sans ticket modérateur")</f>
        <v>- Sans ticket modérateur</v>
      </c>
      <c r="E63" s="78"/>
      <c r="F63" s="78"/>
      <c r="G63" s="78"/>
      <c r="H63" s="78"/>
      <c r="I63" s="78"/>
      <c r="J63" s="78"/>
      <c r="K63" s="78"/>
      <c r="L63" s="78"/>
      <c r="M63" s="78"/>
      <c r="N63" s="78"/>
      <c r="O63" s="78"/>
      <c r="P63" s="51"/>
      <c r="T63" s="21"/>
      <c r="U63" s="1"/>
      <c r="V63" s="1"/>
      <c r="W63" s="1"/>
      <c r="X63" s="1"/>
      <c r="Y63" s="1"/>
      <c r="Z63" s="1"/>
      <c r="AA63" s="1"/>
      <c r="AB63" s="1"/>
      <c r="AC63" s="1"/>
      <c r="AD63" s="1"/>
      <c r="AE63" s="20"/>
    </row>
    <row r="64" spans="20:31" ht="15" customHeight="1" hidden="1" thickBot="1">
      <c r="T64" s="38"/>
      <c r="U64" s="1"/>
      <c r="V64" s="1"/>
      <c r="W64" s="1"/>
      <c r="X64" s="1"/>
      <c r="Y64" s="1"/>
      <c r="Z64" s="1"/>
      <c r="AA64" s="1"/>
      <c r="AB64" s="1"/>
      <c r="AC64" s="1"/>
      <c r="AD64" s="1"/>
      <c r="AE64" s="20"/>
    </row>
    <row r="65" spans="4:31" ht="15" customHeight="1" hidden="1">
      <c r="D65" s="258" t="str">
        <f>_xlfn.IFERROR(IF(AB45="Non","Vous avez débuté votre activité après le 30 Septembre 2020, vous ne pouvez donc pas bénéficier de cette aide",IF(AB47&gt;=0.7,IF(AB42="OUI",IF(AB46*AB49&gt;=Annexes!S6,"Dans votre cas, l'aide est Plafonnée, à "&amp;Annexes!S6&amp;" € pour le mois d'octobre","Vous pouvez bénéficier, au titre de cette aide, d'un montant "&amp;ROUND(AB46*AB49,0)&amp;" € pour le mois d'octobre"),IF(AND(AB43="OUI",AB41&gt;=0.8),IF(AB46*AB49&gt;=Annexes!S6,"Dans votre cas, l'aide est Plafonnée, à "&amp;Annexes!S6&amp;" € pour le mois d'octobre","Vous pouvez bénéficier, au titre de cette aide, d'un montant "&amp;ROUND(AB46*AB49,0)&amp;" € pour le mois d'octobre"),"L'entreprise n'est pas mentionnée en annexe 1 (S1) ou en annexe 2 (S1 bis) du décret 2020-1328 et ayant subi une perte de CA d'au moins 80 % entre le 15/03/2020 et le 15/05/2020, l'entreprise ne peut donc pas bénéficier de cette aide")),IF(AB47&gt;=0.5,IF(AB42="OUI",IF(AB46&gt;=Annexes!S5,"Dans votre cas, l'aide est Plafonnée, à "&amp;Annexes!S5&amp;" € pour le mois d'octobre","Vous pouvez bénéficier, au titre de cette aide, d'un montant "&amp;ROUND(AB46,0)&amp;" € pour le mois d'octobre"),IF(AND(AB43="OUI",AB41&gt;=0.8),IF(AB46&gt;=Annexes!S5,"Dans votre cas, l'aide est Plafonnée, à "&amp;Annexes!S5&amp;" € pour le mois d'octobre","Vous pouvez bénéficier, au titre de cette aide, d'un montant "&amp;ROUND(AB46,0)&amp;"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5" s="259"/>
      <c r="F65" s="259"/>
      <c r="G65" s="259"/>
      <c r="H65" s="259"/>
      <c r="I65" s="259"/>
      <c r="J65" s="259"/>
      <c r="K65" s="259"/>
      <c r="L65" s="259"/>
      <c r="M65" s="259"/>
      <c r="N65" s="259"/>
      <c r="O65" s="260"/>
      <c r="T65" s="28"/>
      <c r="U65" s="49"/>
      <c r="V65" s="1"/>
      <c r="W65" s="1"/>
      <c r="X65" s="1"/>
      <c r="Y65" s="1"/>
      <c r="Z65" s="1"/>
      <c r="AA65" s="1"/>
      <c r="AB65" s="1"/>
      <c r="AC65" s="1"/>
      <c r="AD65" s="1"/>
      <c r="AE65" s="20"/>
    </row>
    <row r="66" spans="4:31" ht="15.75" customHeight="1" hidden="1">
      <c r="D66" s="261"/>
      <c r="E66" s="262"/>
      <c r="F66" s="262"/>
      <c r="G66" s="262"/>
      <c r="H66" s="262"/>
      <c r="I66" s="262"/>
      <c r="J66" s="262"/>
      <c r="K66" s="262"/>
      <c r="L66" s="262"/>
      <c r="M66" s="262"/>
      <c r="N66" s="262"/>
      <c r="O66" s="263"/>
      <c r="T66" s="21"/>
      <c r="U66" s="1"/>
      <c r="V66" s="1"/>
      <c r="W66" s="1"/>
      <c r="X66" s="1"/>
      <c r="Y66" s="1"/>
      <c r="Z66" s="1"/>
      <c r="AA66" s="1"/>
      <c r="AB66" s="1"/>
      <c r="AC66" s="1"/>
      <c r="AD66" s="1"/>
      <c r="AE66" s="20"/>
    </row>
    <row r="67" spans="4:31" ht="15.75" customHeight="1" hidden="1">
      <c r="D67" s="261"/>
      <c r="E67" s="262"/>
      <c r="F67" s="262"/>
      <c r="G67" s="262"/>
      <c r="H67" s="262"/>
      <c r="I67" s="262"/>
      <c r="J67" s="262"/>
      <c r="K67" s="262"/>
      <c r="L67" s="262"/>
      <c r="M67" s="262"/>
      <c r="N67" s="262"/>
      <c r="O67" s="263"/>
      <c r="T67" s="21"/>
      <c r="U67" s="1"/>
      <c r="V67" s="1"/>
      <c r="W67" s="1"/>
      <c r="X67" s="1"/>
      <c r="Y67" s="1"/>
      <c r="Z67" s="1"/>
      <c r="AA67" s="1"/>
      <c r="AB67" s="1"/>
      <c r="AC67" s="1"/>
      <c r="AD67" s="1"/>
      <c r="AE67" s="20"/>
    </row>
    <row r="68" spans="4:31" ht="15" customHeight="1" hidden="1" thickBot="1">
      <c r="D68" s="264"/>
      <c r="E68" s="265"/>
      <c r="F68" s="265"/>
      <c r="G68" s="265"/>
      <c r="H68" s="265"/>
      <c r="I68" s="265"/>
      <c r="J68" s="265"/>
      <c r="K68" s="265"/>
      <c r="L68" s="265"/>
      <c r="M68" s="265"/>
      <c r="N68" s="265"/>
      <c r="O68" s="266"/>
      <c r="T68" s="21"/>
      <c r="U68" s="1"/>
      <c r="V68" s="1"/>
      <c r="W68" s="1"/>
      <c r="X68" s="1"/>
      <c r="Y68" s="1"/>
      <c r="Z68" s="1"/>
      <c r="AA68" s="1"/>
      <c r="AB68" s="1"/>
      <c r="AC68" s="1"/>
      <c r="AD68" s="1"/>
      <c r="AE68" s="20"/>
    </row>
    <row r="69" spans="3:31" ht="15" customHeight="1" hidden="1">
      <c r="C69" s="1"/>
      <c r="D69" s="1"/>
      <c r="E69" s="1"/>
      <c r="F69" s="1"/>
      <c r="G69" s="1"/>
      <c r="H69" s="1"/>
      <c r="I69" s="1"/>
      <c r="J69" s="1"/>
      <c r="K69" s="1"/>
      <c r="L69" s="1"/>
      <c r="M69" s="1"/>
      <c r="N69" s="1"/>
      <c r="O69" s="1"/>
      <c r="T69" s="21"/>
      <c r="U69" s="1"/>
      <c r="V69" s="1"/>
      <c r="W69" s="1"/>
      <c r="X69" s="1"/>
      <c r="Y69" s="1"/>
      <c r="Z69" s="1"/>
      <c r="AA69" s="1"/>
      <c r="AB69" s="1"/>
      <c r="AC69" s="1"/>
      <c r="AD69" s="1"/>
      <c r="AE69" s="20"/>
    </row>
    <row r="70" spans="3:31" ht="15" customHeight="1" hidden="1">
      <c r="C70" s="156"/>
      <c r="D70" s="156"/>
      <c r="E70" s="17"/>
      <c r="F70" s="17"/>
      <c r="G70" s="17"/>
      <c r="H70" s="17"/>
      <c r="I70" s="17"/>
      <c r="J70" s="17"/>
      <c r="K70" s="17"/>
      <c r="L70" s="17"/>
      <c r="M70" s="157"/>
      <c r="N70" s="17"/>
      <c r="O70" s="17"/>
      <c r="T70" s="21"/>
      <c r="U70" s="1"/>
      <c r="V70" s="1"/>
      <c r="W70" s="1"/>
      <c r="X70" s="1"/>
      <c r="Y70" s="1"/>
      <c r="Z70" s="1"/>
      <c r="AA70" s="1"/>
      <c r="AB70" s="1"/>
      <c r="AC70" s="1"/>
      <c r="AD70" s="1"/>
      <c r="AE70" s="20"/>
    </row>
    <row r="71" spans="2:31" ht="15.75" customHeight="1" hidden="1">
      <c r="B71" s="5"/>
      <c r="C71" s="5"/>
      <c r="D71" s="5"/>
      <c r="P71" s="1"/>
      <c r="T71" s="21"/>
      <c r="U71" s="1"/>
      <c r="V71" s="1"/>
      <c r="W71" s="1"/>
      <c r="X71" s="1"/>
      <c r="Y71" s="1"/>
      <c r="Z71" s="1"/>
      <c r="AA71" s="1"/>
      <c r="AB71" s="1"/>
      <c r="AC71" s="1"/>
      <c r="AD71" s="1"/>
      <c r="AE71" s="20"/>
    </row>
    <row r="72" spans="2:31" ht="15" customHeight="1" hidden="1">
      <c r="B72" s="76"/>
      <c r="C72" s="148" t="s">
        <v>217</v>
      </c>
      <c r="D72" s="148"/>
      <c r="E72" s="78"/>
      <c r="F72" s="78"/>
      <c r="G72" s="78"/>
      <c r="H72" s="78"/>
      <c r="I72" s="78"/>
      <c r="J72" s="78"/>
      <c r="K72" s="78"/>
      <c r="L72" s="142"/>
      <c r="M72" s="78"/>
      <c r="N72" s="78"/>
      <c r="O72" s="78"/>
      <c r="P72" s="55"/>
      <c r="T72" s="21"/>
      <c r="U72" s="1"/>
      <c r="V72" s="1"/>
      <c r="W72" s="1"/>
      <c r="X72" s="1"/>
      <c r="Y72" s="1"/>
      <c r="Z72" s="1"/>
      <c r="AA72" s="1"/>
      <c r="AB72" s="1"/>
      <c r="AC72" s="1"/>
      <c r="AD72" s="1"/>
      <c r="AE72" s="20"/>
    </row>
    <row r="73" spans="2:31" ht="15" customHeight="1" hidden="1">
      <c r="B73" s="51"/>
      <c r="C73" s="78"/>
      <c r="D73" s="78" t="str">
        <f>"- Nombre de jours de fermetures au mois d'octobre : "&amp;IF(Annexes!M5=FALSE,0,IF(Annexes!Q5=1,0,Annexes!Q5-1))&amp;" jour(s)"</f>
        <v>- Nombre de jours de fermetures au mois d'octobre : 0 jour(s)</v>
      </c>
      <c r="E73" s="78"/>
      <c r="F73" s="78"/>
      <c r="G73" s="78"/>
      <c r="H73" s="78"/>
      <c r="I73" s="78"/>
      <c r="J73" s="78"/>
      <c r="K73" s="78"/>
      <c r="L73" s="78"/>
      <c r="M73" s="78"/>
      <c r="N73" s="78"/>
      <c r="O73" s="78"/>
      <c r="P73" s="55"/>
      <c r="Q73" s="55"/>
      <c r="R73" s="1"/>
      <c r="S73" s="1"/>
      <c r="T73" s="21"/>
      <c r="U73" s="1"/>
      <c r="V73" s="1"/>
      <c r="W73" s="1"/>
      <c r="X73" s="1"/>
      <c r="Y73" s="1"/>
      <c r="Z73" s="1"/>
      <c r="AA73" s="1"/>
      <c r="AB73" s="1"/>
      <c r="AC73" s="1"/>
      <c r="AD73" s="1"/>
      <c r="AE73" s="20"/>
    </row>
    <row r="74" spans="2:31" ht="15" customHeight="1" hidden="1">
      <c r="B74" s="76"/>
      <c r="C74" s="148"/>
      <c r="D74" s="148"/>
      <c r="E74" s="78" t="str">
        <f>IF(Annexes!M5=FALSE,"Vous n'avez pas coché la case Fermeture administrative de Septembre à Octobre",IF(Annexes!Q5=1,"Vous n'avez pas de jour de fermeture en Octobre",""))</f>
        <v>Vous n'avez pas coché la case Fermeture administrative de Septembre à Octobre</v>
      </c>
      <c r="F74" s="78"/>
      <c r="G74" s="78"/>
      <c r="H74" s="78"/>
      <c r="I74" s="78"/>
      <c r="J74" s="78"/>
      <c r="K74" s="78"/>
      <c r="L74" s="78"/>
      <c r="M74" s="78"/>
      <c r="N74" s="78"/>
      <c r="O74" s="78"/>
      <c r="P74" s="79"/>
      <c r="Q74" s="55"/>
      <c r="R74" s="55"/>
      <c r="S74" s="1"/>
      <c r="T74" s="33"/>
      <c r="U74" s="273" t="s">
        <v>113</v>
      </c>
      <c r="V74" s="273"/>
      <c r="W74" s="273"/>
      <c r="X74" s="1"/>
      <c r="Y74" s="143" t="s">
        <v>97</v>
      </c>
      <c r="Z74" s="143"/>
      <c r="AA74" s="143"/>
      <c r="AB74" s="143" t="s">
        <v>116</v>
      </c>
      <c r="AC74" s="143"/>
      <c r="AD74" s="143"/>
      <c r="AE74" s="34" t="s">
        <v>117</v>
      </c>
    </row>
    <row r="75" spans="2:31" ht="15" customHeight="1" hidden="1">
      <c r="B75" s="80"/>
      <c r="C75" s="152"/>
      <c r="D75" s="152" t="str">
        <f>_xlfn.IFERROR(IF('Mon Entreprise'!K8&gt;=Annexes!U14,"- Le CA de référence est celui de la création, soit une perte de "&amp;ROUND(AB77,0)&amp;" €"&amp;" ==&gt; "&amp;ROUND(AE77*100,0)&amp;" %",IF(AB75&gt;=AB76,"- Le CA de référence est celui d'Octobre 2019, soit une perte de "&amp;ROUND(AB75,0)&amp;" €"&amp;" ==&gt; "&amp;ROUND(AE75*100,0)&amp;" %","- Le CA de référence est celui de de l'exercice 2019, soit une perte de "&amp;ROUND(AB76,0)&amp;" €"&amp;" ==&gt; "&amp;ROUND(AE76*100,0)&amp;" %")),"")</f>
        <v>- Le CA de référence est celui d'Octobre 2019, soit une perte de 0 € ==&gt; 0 %</v>
      </c>
      <c r="E75" s="78"/>
      <c r="F75" s="78"/>
      <c r="G75" s="78"/>
      <c r="H75" s="78"/>
      <c r="I75" s="78"/>
      <c r="J75" s="78"/>
      <c r="K75" s="78"/>
      <c r="L75" s="78"/>
      <c r="M75" s="78"/>
      <c r="N75" s="78"/>
      <c r="O75" s="78"/>
      <c r="P75" s="51"/>
      <c r="Q75" s="55"/>
      <c r="R75" s="55"/>
      <c r="S75" s="1"/>
      <c r="T75" s="274" t="s">
        <v>123</v>
      </c>
      <c r="U75" s="267"/>
      <c r="V75" s="267"/>
      <c r="W75" s="267"/>
      <c r="X75" s="1"/>
      <c r="Y75" s="12">
        <f>'Mon Entreprise'!M55</f>
        <v>0</v>
      </c>
      <c r="Z75" s="29"/>
      <c r="AA75" s="30"/>
      <c r="AB75" s="12">
        <f>IF('Mon Entreprise'!I55-'Mon Entreprise'!M55&lt;0,0,'Mon Entreprise'!I55-'Mon Entreprise'!M55)</f>
        <v>0</v>
      </c>
      <c r="AC75" s="1"/>
      <c r="AD75" s="21"/>
      <c r="AE75" s="35">
        <f>_xlfn.IFERROR(1-'Mon Entreprise'!M55/'Mon Entreprise'!I55,0)</f>
        <v>0</v>
      </c>
    </row>
    <row r="76" spans="3:31" ht="15" customHeight="1" hidden="1" thickBot="1">
      <c r="C76" s="5"/>
      <c r="D76" s="5"/>
      <c r="Q76" s="79"/>
      <c r="R76" s="55"/>
      <c r="S76" s="1"/>
      <c r="T76" s="274" t="s">
        <v>118</v>
      </c>
      <c r="U76" s="267"/>
      <c r="V76" s="267"/>
      <c r="W76" s="267"/>
      <c r="X76" s="1"/>
      <c r="Y76" s="12">
        <f>'Mon Entreprise'!I44*(Annexes!O5-1)/360</f>
        <v>0</v>
      </c>
      <c r="Z76" s="29"/>
      <c r="AA76" s="30"/>
      <c r="AB76" s="12">
        <f>IF('Mon Entreprise'!I44*(Annexes!Q5-1)/360-'Mon Entreprise'!M55&lt;0,0,'Mon Entreprise'!I44*(Annexes!Q5-1)/360-'Mon Entreprise'!M55)</f>
        <v>0</v>
      </c>
      <c r="AC76" s="12"/>
      <c r="AD76" s="21"/>
      <c r="AE76" s="35">
        <f>_xlfn.IFERROR(1-'Mon Entreprise'!M55/('Mon Entreprise'!I44*(Annexes!Q5-1)/360),0)</f>
        <v>0</v>
      </c>
    </row>
    <row r="77" spans="2:31" ht="15" customHeight="1" hidden="1">
      <c r="B77" s="5"/>
      <c r="C77" s="5"/>
      <c r="D77" s="281" t="str">
        <f>_xlfn.IFERROR(IF(AB81="NON","Vous avez débuté votre activité après le 30 Septembre 2020, vous ne pouvez donc pas bénéficier de cette aide",IF(AB83="Non","Vous n'avez pas eu de fermeture administrative en octobre, vous ne pouvez donc pas bénéficier de cette aide",IF(AB84&gt;Annexes!S7*(Annexes!Q5-1),"Dans votre cas, l'aide est Plafonnée sur 333 €/jour, soit "&amp;IF(Annexes!S7*(Annexes!Q5-1)&gt;10000,10000,Annexes!S7*(Annexes!Q5-1))&amp;" €, pour le mois d'octobre","Vous pouvez bénéficier, au titre de cette aide, d'un montant "&amp;ROUND(IF(AB84&gt;10000,10000,AB84),0)&amp;" € pour le mois d'octobre"))),"Vous n'avez pas indiqué de chiffre d'affaires de référence")</f>
        <v>Vous n'avez pas eu de fermeture administrative en octobre, vous ne pouvez donc pas bénéficier de cette aide</v>
      </c>
      <c r="E77" s="282"/>
      <c r="F77" s="282"/>
      <c r="G77" s="282"/>
      <c r="H77" s="282"/>
      <c r="I77" s="282"/>
      <c r="J77" s="282"/>
      <c r="K77" s="282"/>
      <c r="L77" s="282"/>
      <c r="M77" s="282"/>
      <c r="N77" s="282"/>
      <c r="O77" s="283"/>
      <c r="Q77" s="51"/>
      <c r="R77" s="79"/>
      <c r="T77" s="274" t="s">
        <v>115</v>
      </c>
      <c r="U77" s="267"/>
      <c r="V77" s="267"/>
      <c r="W77" s="267"/>
      <c r="X77" s="1"/>
      <c r="Y77" s="26" t="str">
        <f>_xlfn.IFERROR(IF('Mon Entreprise'!K8&gt;=Annexes!U14,'Mon Entreprise'!I79,"NC"),"NC")</f>
        <v>NC</v>
      </c>
      <c r="Z77" s="31"/>
      <c r="AA77" s="30"/>
      <c r="AB77" s="48" t="str">
        <f>_xlfn.IFERROR(IF('Mon Entreprise'!K8&gt;=Annexes!U14,IF('Mon Entreprise'!I79-'Mon Entreprise'!M55&lt;0,0,'Mon Entreprise'!I79-'Mon Entreprise'!M55),"NC"),"NC")</f>
        <v>NC</v>
      </c>
      <c r="AC77" s="144"/>
      <c r="AD77" s="21"/>
      <c r="AE77" s="36" t="str">
        <f>_xlfn.IFERROR(IF('Mon Entreprise'!K8&gt;=Annexes!U14,1-'Mon Entreprise'!M55/'Mon Entreprise'!I79,"NC"),"NC")</f>
        <v>NC</v>
      </c>
    </row>
    <row r="78" spans="2:31" ht="15" customHeight="1" hidden="1">
      <c r="B78" s="5"/>
      <c r="C78" s="5"/>
      <c r="D78" s="284"/>
      <c r="E78" s="285"/>
      <c r="F78" s="285"/>
      <c r="G78" s="285"/>
      <c r="H78" s="285"/>
      <c r="I78" s="285"/>
      <c r="J78" s="285"/>
      <c r="K78" s="285"/>
      <c r="L78" s="285"/>
      <c r="M78" s="285"/>
      <c r="N78" s="285"/>
      <c r="O78" s="286"/>
      <c r="Q78" s="51"/>
      <c r="R78" s="79"/>
      <c r="T78" s="145"/>
      <c r="U78" s="144"/>
      <c r="V78" s="144"/>
      <c r="W78" s="144"/>
      <c r="X78" s="1"/>
      <c r="Y78" s="26"/>
      <c r="Z78" s="31"/>
      <c r="AA78" s="29"/>
      <c r="AB78" s="48"/>
      <c r="AC78" s="144"/>
      <c r="AD78" s="1"/>
      <c r="AE78" s="36"/>
    </row>
    <row r="79" spans="2:31" ht="15" customHeight="1" hidden="1">
      <c r="B79" s="5"/>
      <c r="C79" s="5"/>
      <c r="D79" s="284"/>
      <c r="E79" s="285"/>
      <c r="F79" s="285"/>
      <c r="G79" s="285"/>
      <c r="H79" s="285"/>
      <c r="I79" s="285"/>
      <c r="J79" s="285"/>
      <c r="K79" s="285"/>
      <c r="L79" s="285"/>
      <c r="M79" s="285"/>
      <c r="N79" s="285"/>
      <c r="O79" s="286"/>
      <c r="R79" s="51"/>
      <c r="T79" s="21"/>
      <c r="U79" s="1"/>
      <c r="V79" s="1"/>
      <c r="W79" s="1"/>
      <c r="X79" s="1"/>
      <c r="Y79" s="1"/>
      <c r="Z79" s="1"/>
      <c r="AA79" s="1"/>
      <c r="AB79" s="1"/>
      <c r="AC79" s="1"/>
      <c r="AD79" s="1"/>
      <c r="AE79" s="20"/>
    </row>
    <row r="80" spans="3:31" ht="15.75" customHeight="1" hidden="1" thickBot="1">
      <c r="C80" s="5"/>
      <c r="D80" s="287"/>
      <c r="E80" s="288"/>
      <c r="F80" s="288"/>
      <c r="G80" s="288"/>
      <c r="H80" s="288"/>
      <c r="I80" s="288"/>
      <c r="J80" s="288"/>
      <c r="K80" s="288"/>
      <c r="L80" s="288"/>
      <c r="M80" s="288"/>
      <c r="N80" s="288"/>
      <c r="O80" s="289"/>
      <c r="T80" s="21"/>
      <c r="U80" s="1"/>
      <c r="V80" s="1"/>
      <c r="W80" s="1"/>
      <c r="X80" s="1"/>
      <c r="Y80" s="1"/>
      <c r="Z80" s="1"/>
      <c r="AA80" s="1"/>
      <c r="AB80" s="1"/>
      <c r="AC80" s="1"/>
      <c r="AD80" s="1"/>
      <c r="AE80" s="20"/>
    </row>
    <row r="81" spans="2:31" ht="15" customHeight="1" hidden="1">
      <c r="B81" s="5"/>
      <c r="C81" s="5"/>
      <c r="D81" s="5"/>
      <c r="T81" s="21"/>
      <c r="U81" s="268" t="s">
        <v>231</v>
      </c>
      <c r="V81" s="268"/>
      <c r="W81" s="268"/>
      <c r="X81" s="268"/>
      <c r="Y81" s="268"/>
      <c r="Z81" s="158"/>
      <c r="AA81" s="21"/>
      <c r="AB81" s="144" t="str">
        <f>IF('Mon Entreprise'!K8&lt;=Annexes!S18,"Oui","Non")</f>
        <v>Oui</v>
      </c>
      <c r="AC81" s="1"/>
      <c r="AD81" s="1"/>
      <c r="AE81" s="20"/>
    </row>
    <row r="82" spans="1:31" ht="15" customHeight="1" hidden="1">
      <c r="A82" s="5"/>
      <c r="B82" s="5"/>
      <c r="C82" s="5"/>
      <c r="T82" s="21"/>
      <c r="U82" s="267" t="s">
        <v>240</v>
      </c>
      <c r="V82" s="267"/>
      <c r="W82" s="267"/>
      <c r="X82" s="267"/>
      <c r="Y82" s="267"/>
      <c r="Z82" s="144"/>
      <c r="AA82" s="21"/>
      <c r="AB82" s="144">
        <f>IF(Annexes!M5=FALSE,0,IF(Annexes!Q5=1,0,Annexes!Q5-1))</f>
        <v>0</v>
      </c>
      <c r="AC82" s="1"/>
      <c r="AD82" s="1"/>
      <c r="AE82" s="20"/>
    </row>
    <row r="83" spans="20:31" ht="15.75" customHeight="1">
      <c r="T83" s="21"/>
      <c r="U83" s="267" t="s">
        <v>241</v>
      </c>
      <c r="V83" s="267"/>
      <c r="W83" s="267"/>
      <c r="X83" s="267"/>
      <c r="Y83" s="267"/>
      <c r="Z83" s="144"/>
      <c r="AA83" s="21"/>
      <c r="AB83" s="144" t="str">
        <f>IF(Annexes!M5=FALSE,"Non",IF(Annexes!Q5=1,"Non","Oui"))</f>
        <v>Non</v>
      </c>
      <c r="AC83" s="1"/>
      <c r="AD83" s="1"/>
      <c r="AE83" s="20"/>
    </row>
    <row r="84" spans="2:31" ht="15" customHeight="1">
      <c r="B84" s="5"/>
      <c r="C84" s="5"/>
      <c r="D84" s="5"/>
      <c r="T84" s="21"/>
      <c r="U84" s="267" t="s">
        <v>242</v>
      </c>
      <c r="V84" s="267"/>
      <c r="W84" s="267"/>
      <c r="X84" s="267"/>
      <c r="Y84" s="267"/>
      <c r="Z84" s="159"/>
      <c r="AA84" s="21"/>
      <c r="AB84" s="48">
        <f>IF('Mon Entreprise'!K8&gt;=Annexes!U14,AB77,IF(AB75&gt;=AB76,AB75,AB76))</f>
        <v>0</v>
      </c>
      <c r="AC84" s="1"/>
      <c r="AD84" s="1"/>
      <c r="AE84" s="20"/>
    </row>
    <row r="85" spans="3:31" ht="16.5" thickBot="1">
      <c r="C85" s="245" t="s">
        <v>124</v>
      </c>
      <c r="D85" s="245"/>
      <c r="E85" s="245"/>
      <c r="F85" s="245"/>
      <c r="G85" s="245"/>
      <c r="H85" s="245"/>
      <c r="I85" s="81"/>
      <c r="J85" s="81"/>
      <c r="K85" s="81"/>
      <c r="L85" s="81"/>
      <c r="M85" s="81"/>
      <c r="N85" s="81"/>
      <c r="O85" s="81"/>
      <c r="P85" s="1"/>
      <c r="T85" s="22"/>
      <c r="U85" s="17"/>
      <c r="V85" s="17"/>
      <c r="W85" s="17"/>
      <c r="X85" s="17"/>
      <c r="Y85" s="17"/>
      <c r="Z85" s="17"/>
      <c r="AA85" s="17"/>
      <c r="AB85" s="17"/>
      <c r="AC85" s="17"/>
      <c r="AD85" s="17"/>
      <c r="AE85" s="4"/>
    </row>
    <row r="86" spans="2:31" ht="15.75">
      <c r="B86" s="83"/>
      <c r="C86" s="32"/>
      <c r="D86" s="32"/>
      <c r="E86" s="32"/>
      <c r="F86" s="32"/>
      <c r="G86" s="32"/>
      <c r="H86" s="32"/>
      <c r="I86" s="1"/>
      <c r="J86" s="1"/>
      <c r="K86" s="1"/>
      <c r="L86" s="1"/>
      <c r="M86" s="1"/>
      <c r="N86" s="1"/>
      <c r="O86" s="1"/>
      <c r="P86" s="1"/>
      <c r="T86" s="23"/>
      <c r="U86" s="18"/>
      <c r="V86" s="18"/>
      <c r="W86" s="18"/>
      <c r="X86" s="18"/>
      <c r="Y86" s="18"/>
      <c r="Z86" s="18"/>
      <c r="AA86" s="18"/>
      <c r="AB86" s="18"/>
      <c r="AC86" s="18"/>
      <c r="AD86" s="18"/>
      <c r="AE86" s="19"/>
    </row>
    <row r="87" spans="2:31" ht="15.75" hidden="1">
      <c r="B87" s="125"/>
      <c r="C87" s="298" t="s">
        <v>119</v>
      </c>
      <c r="D87" s="298"/>
      <c r="E87" s="298"/>
      <c r="F87" s="298"/>
      <c r="G87" s="298"/>
      <c r="H87" s="298"/>
      <c r="I87" s="298"/>
      <c r="J87" s="298"/>
      <c r="K87" s="298"/>
      <c r="L87" s="298"/>
      <c r="M87" s="298"/>
      <c r="N87" s="298"/>
      <c r="O87" s="298"/>
      <c r="P87" s="1"/>
      <c r="Q87" s="1"/>
      <c r="T87" s="21"/>
      <c r="U87" s="1"/>
      <c r="V87" s="1"/>
      <c r="W87" s="1"/>
      <c r="X87" s="1"/>
      <c r="Y87" s="1"/>
      <c r="Z87" s="1"/>
      <c r="AA87" s="1"/>
      <c r="AB87" s="1"/>
      <c r="AC87" s="1"/>
      <c r="AD87" s="1"/>
      <c r="AE87" s="20"/>
    </row>
    <row r="88" spans="2:31" ht="15.75" hidden="1">
      <c r="B88" s="125"/>
      <c r="C88" s="146"/>
      <c r="D88" s="78" t="s">
        <v>120</v>
      </c>
      <c r="E88" s="146"/>
      <c r="F88" s="146"/>
      <c r="G88" s="146"/>
      <c r="H88" s="146"/>
      <c r="I88" s="146"/>
      <c r="J88" s="146"/>
      <c r="K88" s="146"/>
      <c r="L88" s="146"/>
      <c r="M88" s="146"/>
      <c r="N88" s="146"/>
      <c r="O88" s="146"/>
      <c r="P88" s="1"/>
      <c r="Q88" s="1"/>
      <c r="T88" s="21"/>
      <c r="U88" s="1"/>
      <c r="V88" s="1"/>
      <c r="W88" s="1"/>
      <c r="X88" s="1"/>
      <c r="Y88" s="1"/>
      <c r="Z88" s="1"/>
      <c r="AA88" s="1"/>
      <c r="AB88" s="1"/>
      <c r="AC88" s="1"/>
      <c r="AD88" s="1"/>
      <c r="AE88" s="20"/>
    </row>
    <row r="89" spans="2:31" ht="16.5" thickBot="1">
      <c r="B89" s="32"/>
      <c r="C89" s="32"/>
      <c r="D89" s="32"/>
      <c r="E89" s="32"/>
      <c r="F89" s="32"/>
      <c r="G89" s="32"/>
      <c r="H89" s="32"/>
      <c r="P89" s="1"/>
      <c r="Q89" s="1"/>
      <c r="R89" s="1"/>
      <c r="S89" s="1"/>
      <c r="T89" s="21"/>
      <c r="U89" s="1"/>
      <c r="V89" s="1"/>
      <c r="W89" s="1"/>
      <c r="X89" s="1"/>
      <c r="Y89" s="1"/>
      <c r="Z89" s="1"/>
      <c r="AA89" s="1"/>
      <c r="AB89" s="1"/>
      <c r="AC89" s="1"/>
      <c r="AD89" s="1"/>
      <c r="AE89" s="20"/>
    </row>
    <row r="90" spans="2:31" ht="15.75">
      <c r="B90" s="32"/>
      <c r="C90" s="32"/>
      <c r="D90" s="290" t="str">
        <f>_xlfn.IFERROR(IF(AND(AB122=0,AB123=0),"Vous ne pouvez pas bénéficier du fonds de solidarité pour le mois de Novembre 2020",IF(AB122&gt;AB123,"Votre entreprise peut bénéficier d'une aide de "&amp;AB122&amp;" €, au titre d'une perte d'au-moins 50 % de votre CA en Novembre 2020","Votre entreprise peut bénéficier d'une aide de "&amp;AB123&amp;" €, au titre d'une fermeture Administrative, ou d'une des activités mentionnées en annexe 1, ou en annexe 2 ayant une perte de CA d'au moins 80 % entre le 15/03/2020 et le 15/05/2020")),"Vous n'avez pas indiqué de chiffre d'affaires de référence")</f>
        <v>Vous ne pouvez pas bénéficier du fonds de solidarité pour le mois de Novembre 2020</v>
      </c>
      <c r="E90" s="291"/>
      <c r="F90" s="291"/>
      <c r="G90" s="291"/>
      <c r="H90" s="291"/>
      <c r="I90" s="291"/>
      <c r="J90" s="291"/>
      <c r="K90" s="291"/>
      <c r="L90" s="291"/>
      <c r="M90" s="291"/>
      <c r="N90" s="291"/>
      <c r="O90" s="292"/>
      <c r="P90" s="1"/>
      <c r="Q90" s="1"/>
      <c r="R90" s="1"/>
      <c r="S90" s="1"/>
      <c r="T90" s="21"/>
      <c r="U90" s="1"/>
      <c r="V90" s="1"/>
      <c r="W90" s="1"/>
      <c r="X90" s="1"/>
      <c r="Y90" s="1"/>
      <c r="Z90" s="1"/>
      <c r="AA90" s="1"/>
      <c r="AB90" s="1"/>
      <c r="AC90" s="1"/>
      <c r="AD90" s="1"/>
      <c r="AE90" s="20"/>
    </row>
    <row r="91" spans="2:31" ht="15.75" customHeight="1">
      <c r="B91" s="32"/>
      <c r="C91" s="32"/>
      <c r="D91" s="293"/>
      <c r="E91" s="250"/>
      <c r="F91" s="250"/>
      <c r="G91" s="250"/>
      <c r="H91" s="250"/>
      <c r="I91" s="250"/>
      <c r="J91" s="250"/>
      <c r="K91" s="250"/>
      <c r="L91" s="250"/>
      <c r="M91" s="250"/>
      <c r="N91" s="250"/>
      <c r="O91" s="294"/>
      <c r="P91" s="1"/>
      <c r="Q91" s="1"/>
      <c r="R91" s="1"/>
      <c r="S91" s="1"/>
      <c r="T91" s="21"/>
      <c r="U91" s="1"/>
      <c r="V91" s="1"/>
      <c r="W91" s="1"/>
      <c r="X91" s="1"/>
      <c r="Y91" s="1"/>
      <c r="Z91" s="1"/>
      <c r="AA91" s="1"/>
      <c r="AB91" s="1"/>
      <c r="AC91" s="1"/>
      <c r="AD91" s="1"/>
      <c r="AE91" s="20"/>
    </row>
    <row r="92" spans="2:31" ht="15.75">
      <c r="B92" s="32"/>
      <c r="C92" s="32"/>
      <c r="D92" s="293"/>
      <c r="E92" s="250"/>
      <c r="F92" s="250"/>
      <c r="G92" s="250"/>
      <c r="H92" s="250"/>
      <c r="I92" s="250"/>
      <c r="J92" s="250"/>
      <c r="K92" s="250"/>
      <c r="L92" s="250"/>
      <c r="M92" s="250"/>
      <c r="N92" s="250"/>
      <c r="O92" s="294"/>
      <c r="P92" s="1"/>
      <c r="Q92" s="1"/>
      <c r="R92" s="1"/>
      <c r="S92" s="1"/>
      <c r="T92" s="21"/>
      <c r="U92" s="1"/>
      <c r="V92" s="1"/>
      <c r="W92" s="1"/>
      <c r="X92" s="1"/>
      <c r="Y92" s="1"/>
      <c r="Z92" s="1"/>
      <c r="AA92" s="1"/>
      <c r="AB92" s="1"/>
      <c r="AC92" s="1"/>
      <c r="AD92" s="1"/>
      <c r="AE92" s="20"/>
    </row>
    <row r="93" spans="2:31" ht="15.75">
      <c r="B93" s="32"/>
      <c r="C93" s="32"/>
      <c r="D93" s="293"/>
      <c r="E93" s="250"/>
      <c r="F93" s="250"/>
      <c r="G93" s="250"/>
      <c r="H93" s="250"/>
      <c r="I93" s="250"/>
      <c r="J93" s="250"/>
      <c r="K93" s="250"/>
      <c r="L93" s="250"/>
      <c r="M93" s="250"/>
      <c r="N93" s="250"/>
      <c r="O93" s="294"/>
      <c r="P93" s="1"/>
      <c r="Q93" s="131"/>
      <c r="R93" s="1"/>
      <c r="S93" s="1"/>
      <c r="T93" s="21"/>
      <c r="U93" s="1"/>
      <c r="V93" s="1"/>
      <c r="W93" s="1"/>
      <c r="X93" s="1"/>
      <c r="Y93" s="1"/>
      <c r="Z93" s="1"/>
      <c r="AA93" s="1"/>
      <c r="AB93" s="1"/>
      <c r="AC93" s="1"/>
      <c r="AD93" s="1"/>
      <c r="AE93" s="20"/>
    </row>
    <row r="94" spans="2:32" ht="16.5" thickBot="1">
      <c r="B94" s="32"/>
      <c r="C94" s="32"/>
      <c r="D94" s="295"/>
      <c r="E94" s="296"/>
      <c r="F94" s="296"/>
      <c r="G94" s="296"/>
      <c r="H94" s="296"/>
      <c r="I94" s="296"/>
      <c r="J94" s="296"/>
      <c r="K94" s="296"/>
      <c r="L94" s="296"/>
      <c r="M94" s="296"/>
      <c r="N94" s="296"/>
      <c r="O94" s="297"/>
      <c r="P94" s="1"/>
      <c r="Q94" s="1"/>
      <c r="R94" s="131"/>
      <c r="S94" s="131"/>
      <c r="T94" s="132"/>
      <c r="U94" s="131"/>
      <c r="V94" s="131"/>
      <c r="W94" s="131"/>
      <c r="X94" s="131"/>
      <c r="Y94" s="131"/>
      <c r="Z94" s="131"/>
      <c r="AA94" s="131"/>
      <c r="AB94" s="131"/>
      <c r="AC94" s="131"/>
      <c r="AD94" s="131"/>
      <c r="AE94" s="133"/>
      <c r="AF94" s="121"/>
    </row>
    <row r="95" spans="2:31" ht="15" hidden="1">
      <c r="B95" s="14"/>
      <c r="C95" s="101"/>
      <c r="D95" s="101"/>
      <c r="E95" s="100"/>
      <c r="F95" s="100"/>
      <c r="G95" s="100"/>
      <c r="H95" s="100"/>
      <c r="I95" s="100"/>
      <c r="J95" s="100"/>
      <c r="K95" s="100"/>
      <c r="L95" s="100"/>
      <c r="M95" s="100"/>
      <c r="N95" s="100"/>
      <c r="O95" s="100"/>
      <c r="Q95" s="1"/>
      <c r="R95" s="1"/>
      <c r="S95" s="1"/>
      <c r="T95" s="21"/>
      <c r="U95" s="1"/>
      <c r="V95" s="1"/>
      <c r="W95" s="1"/>
      <c r="X95" s="1"/>
      <c r="Y95" s="1"/>
      <c r="Z95" s="1"/>
      <c r="AA95" s="1"/>
      <c r="AB95" s="1"/>
      <c r="AC95" s="1"/>
      <c r="AD95" s="1"/>
      <c r="AE95" s="20"/>
    </row>
    <row r="96" spans="17:31" ht="15" hidden="1">
      <c r="Q96" s="1"/>
      <c r="R96" s="1"/>
      <c r="S96" s="1"/>
      <c r="T96" s="21"/>
      <c r="U96" s="1"/>
      <c r="V96" s="1"/>
      <c r="W96" s="1"/>
      <c r="X96" s="1"/>
      <c r="Y96" s="1"/>
      <c r="Z96" s="1"/>
      <c r="AA96" s="1"/>
      <c r="AB96" s="1"/>
      <c r="AC96" s="1"/>
      <c r="AD96" s="1"/>
      <c r="AE96" s="20"/>
    </row>
    <row r="97" spans="3:31" ht="15" hidden="1">
      <c r="C97" s="78" t="s">
        <v>215</v>
      </c>
      <c r="D97" s="78"/>
      <c r="E97" s="78"/>
      <c r="F97" s="78"/>
      <c r="G97" s="78"/>
      <c r="H97" s="78"/>
      <c r="I97" s="78"/>
      <c r="J97" s="51"/>
      <c r="K97" s="51"/>
      <c r="L97" s="51"/>
      <c r="M97" s="51"/>
      <c r="N97" s="51"/>
      <c r="O97" s="51"/>
      <c r="R97" s="1"/>
      <c r="S97" s="1"/>
      <c r="T97" s="21"/>
      <c r="U97" s="1"/>
      <c r="V97" s="1"/>
      <c r="W97" s="1"/>
      <c r="X97" s="1"/>
      <c r="Y97" s="1"/>
      <c r="Z97" s="1"/>
      <c r="AA97" s="1"/>
      <c r="AB97" s="1"/>
      <c r="AC97" s="1"/>
      <c r="AD97" s="1"/>
      <c r="AE97" s="20"/>
    </row>
    <row r="98" spans="3:31" ht="15" customHeight="1" hidden="1">
      <c r="C98" s="78"/>
      <c r="D98" s="78" t="str">
        <f>_xlfn.IFERROR(IF('Mon Entreprise'!K8&gt;=Annexes!U14,"Le CA de référence est celui de la création, soit une perte de "&amp;ROUND(AB104,0)&amp;" €"&amp;" ==&gt; "&amp;ROUND(AE104*100,0)&amp;" %",IF(AB102&gt;=AB103,"Le CA de référence est celui de Novembre 2019, soit une perte de "&amp;ROUND(AB102,0)&amp;" €"&amp;" ==&gt; "&amp;ROUND(AE102*100,0)&amp;" %","Le CA de référence est celui de de l'exercice 2019, soit une perte de "&amp;ROUND(AB103,0)&amp;" €"&amp;" ==&gt; "&amp;ROUND(AE103*100,0)&amp;" %")),"")</f>
        <v>Le CA de référence est celui de Novembre 2019, soit une perte de 0 € ==&gt; 0 %</v>
      </c>
      <c r="E98" s="78"/>
      <c r="F98" s="78"/>
      <c r="G98" s="78"/>
      <c r="H98" s="78"/>
      <c r="I98" s="78"/>
      <c r="J98" s="51"/>
      <c r="K98" s="51"/>
      <c r="L98" s="51"/>
      <c r="M98" s="51"/>
      <c r="N98" s="51"/>
      <c r="O98" s="51"/>
      <c r="T98" s="21"/>
      <c r="U98" s="1"/>
      <c r="V98" s="1"/>
      <c r="W98" s="1"/>
      <c r="X98" s="1"/>
      <c r="Y98" s="1"/>
      <c r="Z98" s="1"/>
      <c r="AA98" s="1"/>
      <c r="AB98" s="1"/>
      <c r="AC98" s="1"/>
      <c r="AD98" s="1"/>
      <c r="AE98" s="20"/>
    </row>
    <row r="99" spans="20:31" ht="15" customHeight="1" hidden="1" thickBot="1">
      <c r="T99" s="21"/>
      <c r="U99" s="1"/>
      <c r="V99" s="1"/>
      <c r="W99" s="1"/>
      <c r="X99" s="1"/>
      <c r="Y99" s="1"/>
      <c r="Z99" s="1"/>
      <c r="AA99" s="1"/>
      <c r="AB99" s="1"/>
      <c r="AC99" s="1"/>
      <c r="AD99" s="1"/>
      <c r="AE99" s="20"/>
    </row>
    <row r="100" spans="4:31" ht="15" customHeight="1" hidden="1">
      <c r="D100" s="258" t="str">
        <f>_xlfn.IFERROR(IF(AB106="Non","Vous avez débuté votre activité après le 30 Septembre 2020, vous ne pouvez donc pas bénéficier de cette aide",IF(AB108&gt;=0.5,IF(AB107&gt;Annexes!S5,"Dans votre cas, l'aide est Plafonnée, à "&amp;Annexes!S5&amp;" € pour le mois de novembre","Vous pouvez bénéficier, au titre de cette aide, d'un montant "&amp;ROUND(AB107,0)&amp;" € pour le mois de novembre"),"L'entreprise n'a pas une perte d'au moins 50 % en novembre 2020")),"Vous n'avez pas indiqué de chiffre d'affaires de référence")</f>
        <v>L'entreprise n'a pas une perte d'au moins 50 % en novembre 2020</v>
      </c>
      <c r="E100" s="259"/>
      <c r="F100" s="259"/>
      <c r="G100" s="259"/>
      <c r="H100" s="259"/>
      <c r="I100" s="259"/>
      <c r="J100" s="259"/>
      <c r="K100" s="259"/>
      <c r="L100" s="259"/>
      <c r="M100" s="259"/>
      <c r="N100" s="259"/>
      <c r="O100" s="260"/>
      <c r="T100" s="33"/>
      <c r="U100" s="273" t="s">
        <v>113</v>
      </c>
      <c r="V100" s="273"/>
      <c r="W100" s="273"/>
      <c r="X100" s="1"/>
      <c r="Y100" s="143" t="s">
        <v>97</v>
      </c>
      <c r="Z100" s="143"/>
      <c r="AA100" s="143"/>
      <c r="AB100" s="143" t="s">
        <v>116</v>
      </c>
      <c r="AC100" s="143"/>
      <c r="AD100" s="143"/>
      <c r="AE100" s="34" t="s">
        <v>117</v>
      </c>
    </row>
    <row r="101" spans="4:31" ht="15" customHeight="1" hidden="1">
      <c r="D101" s="261"/>
      <c r="E101" s="262"/>
      <c r="F101" s="262"/>
      <c r="G101" s="262"/>
      <c r="H101" s="262"/>
      <c r="I101" s="262"/>
      <c r="J101" s="262"/>
      <c r="K101" s="262"/>
      <c r="L101" s="262"/>
      <c r="M101" s="262"/>
      <c r="N101" s="262"/>
      <c r="O101" s="263"/>
      <c r="T101" s="33"/>
      <c r="U101" s="143"/>
      <c r="V101" s="143"/>
      <c r="W101" s="143"/>
      <c r="X101" s="1"/>
      <c r="Y101" s="143"/>
      <c r="Z101" s="143"/>
      <c r="AA101" s="143"/>
      <c r="AB101" s="143"/>
      <c r="AC101" s="143"/>
      <c r="AD101" s="143"/>
      <c r="AE101" s="34"/>
    </row>
    <row r="102" spans="4:31" ht="15" customHeight="1" hidden="1">
      <c r="D102" s="261"/>
      <c r="E102" s="262"/>
      <c r="F102" s="262"/>
      <c r="G102" s="262"/>
      <c r="H102" s="262"/>
      <c r="I102" s="262"/>
      <c r="J102" s="262"/>
      <c r="K102" s="262"/>
      <c r="L102" s="262"/>
      <c r="M102" s="262"/>
      <c r="N102" s="262"/>
      <c r="O102" s="263"/>
      <c r="T102" s="274" t="s">
        <v>123</v>
      </c>
      <c r="U102" s="267"/>
      <c r="V102" s="267"/>
      <c r="W102" s="267"/>
      <c r="X102" s="1"/>
      <c r="Y102" s="12">
        <f>'Mon Entreprise'!I60</f>
        <v>0</v>
      </c>
      <c r="Z102" s="162"/>
      <c r="AA102" s="29"/>
      <c r="AB102" s="12">
        <f>IF('Mon Entreprise'!I60-'Mon Entreprise'!M60&lt;0,0,'Mon Entreprise'!I60-'Mon Entreprise'!M60)</f>
        <v>0</v>
      </c>
      <c r="AC102" s="20"/>
      <c r="AD102" s="1"/>
      <c r="AE102" s="35">
        <f>_xlfn.IFERROR(1-'Mon Entreprise'!M60/'Mon Entreprise'!I60,0)</f>
        <v>0</v>
      </c>
    </row>
    <row r="103" spans="4:31" ht="15" customHeight="1" hidden="1" thickBot="1">
      <c r="D103" s="264"/>
      <c r="E103" s="265"/>
      <c r="F103" s="265"/>
      <c r="G103" s="265"/>
      <c r="H103" s="265"/>
      <c r="I103" s="265"/>
      <c r="J103" s="265"/>
      <c r="K103" s="265"/>
      <c r="L103" s="265"/>
      <c r="M103" s="265"/>
      <c r="N103" s="265"/>
      <c r="O103" s="266"/>
      <c r="T103" s="274" t="s">
        <v>118</v>
      </c>
      <c r="U103" s="267"/>
      <c r="V103" s="267"/>
      <c r="W103" s="267"/>
      <c r="X103" s="1"/>
      <c r="Y103" s="12">
        <f>'Mon Entreprise'!I46</f>
        <v>0</v>
      </c>
      <c r="Z103" s="162"/>
      <c r="AA103" s="29"/>
      <c r="AB103" s="12">
        <f>IF('Mon Entreprise'!I46-'Mon Entreprise'!M60&lt;0,0,'Mon Entreprise'!I46-'Mon Entreprise'!M60)</f>
        <v>0</v>
      </c>
      <c r="AC103" s="47"/>
      <c r="AD103" s="1"/>
      <c r="AE103" s="35">
        <f>_xlfn.IFERROR(1-'Mon Entreprise'!M60/'Mon Entreprise'!I46,0)</f>
        <v>0</v>
      </c>
    </row>
    <row r="104" spans="3:31" ht="15.75" customHeight="1" hidden="1">
      <c r="C104" s="100"/>
      <c r="D104" s="100"/>
      <c r="E104" s="100"/>
      <c r="F104" s="100"/>
      <c r="G104" s="100"/>
      <c r="H104" s="100"/>
      <c r="I104" s="100"/>
      <c r="J104" s="100"/>
      <c r="K104" s="100"/>
      <c r="L104" s="100"/>
      <c r="M104" s="100"/>
      <c r="N104" s="100"/>
      <c r="O104" s="100"/>
      <c r="T104" s="274" t="s">
        <v>115</v>
      </c>
      <c r="U104" s="267"/>
      <c r="V104" s="267"/>
      <c r="W104" s="267"/>
      <c r="X104" s="1"/>
      <c r="Y104" s="26" t="str">
        <f>IF('Mon Entreprise'!I77="","NC",'Mon Entreprise'!I77)</f>
        <v>NC</v>
      </c>
      <c r="Z104" s="163"/>
      <c r="AA104" s="29"/>
      <c r="AB104" s="48" t="str">
        <f>_xlfn.IFERROR(IF('Mon Entreprise'!I77-'Mon Entreprise'!M60&lt;0,0,'Mon Entreprise'!I77-'Mon Entreprise'!M60),"NC")</f>
        <v>NC</v>
      </c>
      <c r="AC104" s="164"/>
      <c r="AD104" s="1"/>
      <c r="AE104" s="36" t="str">
        <f>_xlfn.IFERROR(1-'Mon Entreprise'!M60/'Mon Entreprise'!I77,"NC")</f>
        <v>NC</v>
      </c>
    </row>
    <row r="105" spans="20:31" ht="15" customHeight="1" hidden="1">
      <c r="T105" s="21"/>
      <c r="U105" s="1"/>
      <c r="V105" s="1"/>
      <c r="W105" s="1"/>
      <c r="X105" s="1"/>
      <c r="Y105" s="1"/>
      <c r="Z105" s="1"/>
      <c r="AA105" s="1"/>
      <c r="AB105" s="1"/>
      <c r="AC105" s="1"/>
      <c r="AD105" s="1"/>
      <c r="AE105" s="20"/>
    </row>
    <row r="106" spans="3:31" ht="15" customHeight="1" hidden="1">
      <c r="C106" s="271" t="s">
        <v>246</v>
      </c>
      <c r="D106" s="271"/>
      <c r="E106" s="271"/>
      <c r="F106" s="271"/>
      <c r="G106" s="271"/>
      <c r="H106" s="271"/>
      <c r="I106" s="271"/>
      <c r="J106" s="271"/>
      <c r="K106" s="271"/>
      <c r="L106" s="271"/>
      <c r="M106" s="271"/>
      <c r="N106" s="271"/>
      <c r="O106" s="271"/>
      <c r="P106" s="51"/>
      <c r="T106" s="21"/>
      <c r="U106" s="268" t="s">
        <v>231</v>
      </c>
      <c r="V106" s="268"/>
      <c r="W106" s="268"/>
      <c r="X106" s="268"/>
      <c r="Y106" s="268"/>
      <c r="Z106" s="1"/>
      <c r="AA106" s="21"/>
      <c r="AB106" s="144" t="str">
        <f>IF('Mon Entreprise'!K8&lt;=Annexes!S18,"Oui","Non")</f>
        <v>Oui</v>
      </c>
      <c r="AC106" s="1"/>
      <c r="AD106" s="1"/>
      <c r="AE106" s="20"/>
    </row>
    <row r="107" spans="3:31" ht="15.75" customHeight="1" hidden="1">
      <c r="C107" s="271"/>
      <c r="D107" s="271"/>
      <c r="E107" s="271"/>
      <c r="F107" s="271"/>
      <c r="G107" s="271"/>
      <c r="H107" s="271"/>
      <c r="I107" s="271"/>
      <c r="J107" s="271"/>
      <c r="K107" s="271"/>
      <c r="L107" s="271"/>
      <c r="M107" s="271"/>
      <c r="N107" s="271"/>
      <c r="O107" s="271"/>
      <c r="P107" s="51"/>
      <c r="Q107" s="51"/>
      <c r="T107" s="21"/>
      <c r="U107" s="268" t="s">
        <v>234</v>
      </c>
      <c r="V107" s="268"/>
      <c r="W107" s="268"/>
      <c r="X107" s="268"/>
      <c r="Y107" s="268"/>
      <c r="Z107" s="1"/>
      <c r="AA107" s="21"/>
      <c r="AB107" s="144">
        <f>IF('Mon Entreprise'!K8&gt;=Annexes!U14,AB104,IF(AB102&gt;=AB103,AB102,AB103))</f>
        <v>0</v>
      </c>
      <c r="AC107" s="1"/>
      <c r="AD107" s="1"/>
      <c r="AE107" s="20"/>
    </row>
    <row r="108" spans="3:31" ht="15" customHeight="1" hidden="1">
      <c r="C108" s="78"/>
      <c r="E108" s="271" t="str">
        <f>IF('Mon Entreprise'!K8&gt;Annexes!S18,"",IF(OR(AB114="OUI",AND(AB115="OUI",AB113&gt;=Annexes!T5),AB116=TRUE),IF(K124&gt;Annexes!S6,"",""),IF(AND(AB115="OUI",AB113&lt;Annexes!T5),"L'entreprise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8" s="271"/>
      <c r="G108" s="271"/>
      <c r="H108" s="271"/>
      <c r="I108" s="271"/>
      <c r="J108" s="271"/>
      <c r="K108" s="271"/>
      <c r="L108" s="271"/>
      <c r="M108" s="271"/>
      <c r="N108" s="271"/>
      <c r="O108" s="271"/>
      <c r="P108" s="51"/>
      <c r="Q108" s="51"/>
      <c r="T108" s="21"/>
      <c r="U108" s="268" t="s">
        <v>235</v>
      </c>
      <c r="V108" s="268"/>
      <c r="W108" s="268"/>
      <c r="X108" s="268"/>
      <c r="Y108" s="268"/>
      <c r="Z108" s="1"/>
      <c r="AA108" s="21"/>
      <c r="AB108" s="27">
        <f>IF('Mon Entreprise'!K8&gt;=Annexes!U14,AE104,IF(AB102&gt;=AB103,AE102,AE103))</f>
        <v>0</v>
      </c>
      <c r="AC108" s="1"/>
      <c r="AD108" s="1"/>
      <c r="AE108" s="20"/>
    </row>
    <row r="109" spans="3:31" ht="15" customHeight="1" hidden="1">
      <c r="C109" s="78"/>
      <c r="D109" s="160"/>
      <c r="E109" s="271"/>
      <c r="F109" s="271"/>
      <c r="G109" s="271"/>
      <c r="H109" s="271"/>
      <c r="I109" s="271"/>
      <c r="J109" s="271"/>
      <c r="K109" s="271"/>
      <c r="L109" s="271"/>
      <c r="M109" s="271"/>
      <c r="N109" s="271"/>
      <c r="O109" s="271"/>
      <c r="P109" s="51"/>
      <c r="Q109" s="51"/>
      <c r="T109" s="21"/>
      <c r="U109" s="267"/>
      <c r="V109" s="267"/>
      <c r="W109" s="267"/>
      <c r="X109" s="267"/>
      <c r="Y109" s="267"/>
      <c r="Z109" s="1"/>
      <c r="AA109" s="1"/>
      <c r="AB109" s="144"/>
      <c r="AC109" s="1"/>
      <c r="AD109" s="1"/>
      <c r="AE109" s="20"/>
    </row>
    <row r="110" spans="3:31" ht="15" customHeight="1" hidden="1">
      <c r="C110" s="78"/>
      <c r="D110" s="78" t="str">
        <f>_xlfn.IFERROR(IF('Mon Entreprise'!K8&gt;=Annexes!U14,"- Le CA de référence est celui de la création, soit une perte de "&amp;ROUND(AB104,0)&amp;" €"&amp;" ==&gt; "&amp;ROUND(AE104*100,0)&amp;" %",IF(AB102&gt;=AB103,"- Le CA de référence est celui de Novembre 2019, soit une perte de "&amp;ROUND(AB102,0)&amp;" €"&amp;" ==&gt; "&amp;ROUND(AE102*100,0)&amp;" %","- Le CA de référence est celui de de l'exercice 2019, soit une perte de "&amp;ROUND(AB103,0)&amp;" €"&amp;" ==&gt; "&amp;ROUND(AE103*100,0)&amp;" %")),"")</f>
        <v>- Le CA de référence est celui de Novembre 2019, soit une perte de 0 € ==&gt; 0 %</v>
      </c>
      <c r="E110" s="78"/>
      <c r="F110" s="78"/>
      <c r="G110" s="78"/>
      <c r="H110" s="78"/>
      <c r="I110" s="78"/>
      <c r="J110" s="78"/>
      <c r="K110" s="78"/>
      <c r="L110" s="78"/>
      <c r="M110" s="78"/>
      <c r="N110" s="78"/>
      <c r="O110" s="78"/>
      <c r="P110" s="51"/>
      <c r="Q110" s="51"/>
      <c r="R110" s="51"/>
      <c r="T110" s="21"/>
      <c r="U110" s="1"/>
      <c r="V110" s="1"/>
      <c r="W110" s="1"/>
      <c r="X110" s="1"/>
      <c r="Y110" s="1"/>
      <c r="Z110" s="1"/>
      <c r="AA110" s="1"/>
      <c r="AB110" s="144"/>
      <c r="AC110" s="1"/>
      <c r="AD110" s="1"/>
      <c r="AE110" s="20"/>
    </row>
    <row r="111" spans="3:31" ht="15" customHeight="1" hidden="1">
      <c r="C111" s="51"/>
      <c r="D111" s="78" t="str">
        <f>IF(OR(AB114="OUI",AB116=TRUE),"- Sans ticket modérateur",IF(AND(AB115="OUI",AB113&gt;=0.8),"- Le CA de référence est plafonné à 80 %, il est donc de "&amp;ROUND(AB118*0.8,0)&amp;" €","- Sans ticket modérateur"))</f>
        <v>- Sans ticket modérateur</v>
      </c>
      <c r="E111" s="51"/>
      <c r="F111" s="51"/>
      <c r="G111" s="51"/>
      <c r="H111" s="51"/>
      <c r="I111" s="51"/>
      <c r="J111" s="51"/>
      <c r="K111" s="51"/>
      <c r="M111" s="51"/>
      <c r="N111" s="51"/>
      <c r="O111" s="51"/>
      <c r="P111" s="51"/>
      <c r="Q111" s="51"/>
      <c r="R111" s="51"/>
      <c r="T111" s="21"/>
      <c r="U111" s="1"/>
      <c r="V111" s="1"/>
      <c r="W111" s="1"/>
      <c r="X111" s="1"/>
      <c r="Y111" s="1"/>
      <c r="Z111" s="1"/>
      <c r="AA111" s="1"/>
      <c r="AB111" s="144"/>
      <c r="AC111" s="1"/>
      <c r="AD111" s="1"/>
      <c r="AE111" s="20"/>
    </row>
    <row r="112" spans="17:31" ht="15" customHeight="1" hidden="1" thickBot="1">
      <c r="Q112" s="51"/>
      <c r="R112" s="51"/>
      <c r="T112" s="21"/>
      <c r="U112" s="1"/>
      <c r="V112" s="1"/>
      <c r="W112" s="1"/>
      <c r="X112" s="1"/>
      <c r="Y112" s="1"/>
      <c r="Z112" s="1"/>
      <c r="AA112" s="1"/>
      <c r="AB112" s="144"/>
      <c r="AC112" s="1"/>
      <c r="AD112" s="1"/>
      <c r="AE112" s="20"/>
    </row>
    <row r="113" spans="4:31" ht="15" customHeight="1" hidden="1">
      <c r="D113" s="258" t="str">
        <f>_xlfn.IFERROR(IF('Mon Entreprise'!K8&gt;Annexes!S18,"Vous avez débuté votre activité après le 30 Septembre 2020, vous ne pouvez donc pas bénéficier de cette aide",IF(AB119&gt;=0.5,IF(OR(AB114="OUI",AND(AB115="OUI",AB113&gt;=Annexes!T5),AB116=TRUE),IF(AB118*AB120&gt;Annexes!S6,"Dans votre cas, l'aide est Plafonnée, à "&amp;Annexes!S6&amp;" € pour le mois de Novembre","Vous pouvez bénéficier, au titre de cette aide, d'un montant "&amp;ROUND(AB118*AB120,0)&amp;" € pour le mois de novembre"),IF(AND(AB115="OUI",AB113&lt;Annexes!T5),"L'entreprise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3" s="259"/>
      <c r="F113" s="259"/>
      <c r="G113" s="259"/>
      <c r="H113" s="259"/>
      <c r="I113" s="259"/>
      <c r="J113" s="259"/>
      <c r="K113" s="259"/>
      <c r="L113" s="259"/>
      <c r="M113" s="259"/>
      <c r="N113" s="259"/>
      <c r="O113" s="260"/>
      <c r="Q113" s="51"/>
      <c r="R113" s="51"/>
      <c r="T113" s="279" t="s">
        <v>94</v>
      </c>
      <c r="U113" s="280"/>
      <c r="V113" s="280"/>
      <c r="W113" s="280"/>
      <c r="X113" s="280"/>
      <c r="Y113" s="280"/>
      <c r="Z113" s="1"/>
      <c r="AA113" s="21"/>
      <c r="AB113" s="161">
        <f>_xlfn.IFERROR(IF('Mon Entreprise'!K8&lt;Annexes!U19,IF(1-'Mon Entreprise'!M62/'Mon Entreprise'!I62&gt;=1-'Mon Entreprise'!M62/('Mon Entreprise'!I46*2),1-'Mon Entreprise'!M62/'Mon Entreprise'!I62,1-'Mon Entreprise'!M62/('Mon Entreprise'!I46*2)),1-'Mon Entreprise'!M62/'Mon Entreprise'!I70),0)</f>
        <v>0</v>
      </c>
      <c r="AC113" s="1"/>
      <c r="AD113" s="1"/>
      <c r="AE113" s="20"/>
    </row>
    <row r="114" spans="4:31" ht="15" customHeight="1" hidden="1">
      <c r="D114" s="261"/>
      <c r="E114" s="262"/>
      <c r="F114" s="262"/>
      <c r="G114" s="262"/>
      <c r="H114" s="262"/>
      <c r="I114" s="262"/>
      <c r="J114" s="262"/>
      <c r="K114" s="262"/>
      <c r="L114" s="262"/>
      <c r="M114" s="262"/>
      <c r="N114" s="262"/>
      <c r="O114" s="263"/>
      <c r="Q114" s="51"/>
      <c r="R114" s="51"/>
      <c r="T114" s="21"/>
      <c r="U114" s="280" t="s">
        <v>99</v>
      </c>
      <c r="V114" s="280"/>
      <c r="W114" s="280"/>
      <c r="X114" s="280"/>
      <c r="Y114" s="280"/>
      <c r="Z114" s="1"/>
      <c r="AA114" s="21"/>
      <c r="AB114" s="27" t="str">
        <f>IF((AND(Annexes!F5&gt;1,Annexes!F5&lt;61)),"OUI","NON")</f>
        <v>NON</v>
      </c>
      <c r="AC114" s="1"/>
      <c r="AD114" s="1"/>
      <c r="AE114" s="20"/>
    </row>
    <row r="115" spans="4:31" ht="15" customHeight="1" hidden="1">
      <c r="D115" s="261"/>
      <c r="E115" s="262"/>
      <c r="F115" s="262"/>
      <c r="G115" s="262"/>
      <c r="H115" s="262"/>
      <c r="I115" s="262"/>
      <c r="J115" s="262"/>
      <c r="K115" s="262"/>
      <c r="L115" s="262"/>
      <c r="M115" s="262"/>
      <c r="N115" s="262"/>
      <c r="O115" s="263"/>
      <c r="Q115" s="51"/>
      <c r="R115" s="51"/>
      <c r="T115" s="21"/>
      <c r="U115" s="267" t="s">
        <v>100</v>
      </c>
      <c r="V115" s="267"/>
      <c r="W115" s="267"/>
      <c r="X115" s="267"/>
      <c r="Y115" s="267"/>
      <c r="Z115" s="1"/>
      <c r="AA115" s="21"/>
      <c r="AB115" s="27" t="str">
        <f>IF((AND(Annexes!F7&gt;1,Annexes!F7&lt;87)),"OUI","NON")</f>
        <v>NON</v>
      </c>
      <c r="AC115" s="1"/>
      <c r="AD115" s="1"/>
      <c r="AE115" s="20"/>
    </row>
    <row r="116" spans="4:31" ht="15" customHeight="1" hidden="1" thickBot="1">
      <c r="D116" s="264"/>
      <c r="E116" s="265"/>
      <c r="F116" s="265"/>
      <c r="G116" s="265"/>
      <c r="H116" s="265"/>
      <c r="I116" s="265"/>
      <c r="J116" s="265"/>
      <c r="K116" s="265"/>
      <c r="L116" s="265"/>
      <c r="M116" s="265"/>
      <c r="N116" s="265"/>
      <c r="O116" s="266"/>
      <c r="R116" s="51"/>
      <c r="T116" s="21"/>
      <c r="U116" s="267" t="s">
        <v>103</v>
      </c>
      <c r="V116" s="267"/>
      <c r="W116" s="267"/>
      <c r="X116" s="267"/>
      <c r="Y116" s="267"/>
      <c r="Z116" s="1"/>
      <c r="AA116" s="21"/>
      <c r="AB116" s="27" t="b">
        <f>Annexes!M7</f>
        <v>0</v>
      </c>
      <c r="AC116" s="1"/>
      <c r="AD116" s="1"/>
      <c r="AE116" s="20"/>
    </row>
    <row r="117" spans="18:31" ht="15" customHeight="1">
      <c r="R117" s="51"/>
      <c r="T117" s="21"/>
      <c r="U117" s="268" t="s">
        <v>231</v>
      </c>
      <c r="V117" s="268"/>
      <c r="W117" s="268"/>
      <c r="X117" s="268"/>
      <c r="Y117" s="268"/>
      <c r="Z117" s="1"/>
      <c r="AA117" s="21"/>
      <c r="AB117" s="144" t="str">
        <f>IF('Mon Entreprise'!K8&lt;=Annexes!S18,"Oui","Non")</f>
        <v>Oui</v>
      </c>
      <c r="AC117" s="1"/>
      <c r="AD117" s="1"/>
      <c r="AE117" s="20"/>
    </row>
    <row r="118" spans="13:31" ht="15.75" customHeight="1">
      <c r="M118" s="3"/>
      <c r="T118" s="21"/>
      <c r="U118" s="268" t="s">
        <v>234</v>
      </c>
      <c r="V118" s="268"/>
      <c r="W118" s="268"/>
      <c r="X118" s="268"/>
      <c r="Y118" s="268"/>
      <c r="Z118" s="1"/>
      <c r="AA118" s="21"/>
      <c r="AB118" s="144">
        <f>IF('Mon Entreprise'!K8&gt;=Annexes!U14,AB104,IF(AB102&gt;=AB103,AB102,AB103))</f>
        <v>0</v>
      </c>
      <c r="AC118" s="1"/>
      <c r="AD118" s="1"/>
      <c r="AE118" s="20"/>
    </row>
    <row r="119" spans="13:31" ht="15" customHeight="1">
      <c r="M119" s="3"/>
      <c r="T119" s="21"/>
      <c r="U119" s="268" t="s">
        <v>235</v>
      </c>
      <c r="V119" s="268"/>
      <c r="W119" s="268"/>
      <c r="X119" s="268"/>
      <c r="Y119" s="268"/>
      <c r="Z119" s="1"/>
      <c r="AA119" s="21"/>
      <c r="AB119" s="27">
        <f>IF('Mon Entreprise'!K8&gt;=Annexes!U14,AE104,IF(AB102&gt;=AB103,AE102,AE103))</f>
        <v>0</v>
      </c>
      <c r="AC119" s="1"/>
      <c r="AD119" s="1"/>
      <c r="AE119" s="20"/>
    </row>
    <row r="120" spans="2:31" ht="15" customHeight="1">
      <c r="B120" s="235" t="s">
        <v>226</v>
      </c>
      <c r="C120" s="235"/>
      <c r="D120" s="235"/>
      <c r="E120" s="235"/>
      <c r="F120" s="235"/>
      <c r="G120" s="235"/>
      <c r="H120" s="235"/>
      <c r="I120" s="235"/>
      <c r="J120" s="235"/>
      <c r="K120" s="235"/>
      <c r="L120" s="235"/>
      <c r="M120" s="235"/>
      <c r="N120" s="235"/>
      <c r="O120" s="235"/>
      <c r="T120" s="21"/>
      <c r="U120" s="267" t="s">
        <v>233</v>
      </c>
      <c r="V120" s="267"/>
      <c r="W120" s="267"/>
      <c r="X120" s="267"/>
      <c r="Y120" s="267"/>
      <c r="Z120" s="1"/>
      <c r="AA120" s="1"/>
      <c r="AB120" s="73">
        <f>IF(OR(AB114="OUI",AB116=TRUE),1,IF(AND(AB115="OUI",AB113&gt;=0.8),0.8,1))</f>
        <v>1</v>
      </c>
      <c r="AC120" s="1"/>
      <c r="AD120" s="1"/>
      <c r="AE120" s="20"/>
    </row>
    <row r="121" spans="13:31" ht="15.75" customHeight="1">
      <c r="M121" s="3"/>
      <c r="O121" s="1"/>
      <c r="P121" s="1"/>
      <c r="T121" s="21"/>
      <c r="U121" s="1"/>
      <c r="V121" s="1"/>
      <c r="W121" s="1"/>
      <c r="X121" s="1"/>
      <c r="Y121" s="1"/>
      <c r="Z121" s="1"/>
      <c r="AA121" s="1"/>
      <c r="AB121" s="144"/>
      <c r="AC121" s="1"/>
      <c r="AD121" s="1"/>
      <c r="AE121" s="20"/>
    </row>
    <row r="122" spans="15:31" ht="15">
      <c r="O122" s="1"/>
      <c r="P122" s="1"/>
      <c r="T122" s="21"/>
      <c r="U122" s="267" t="s">
        <v>244</v>
      </c>
      <c r="V122" s="267"/>
      <c r="W122" s="267"/>
      <c r="X122" s="267"/>
      <c r="Y122" s="267"/>
      <c r="Z122" s="1"/>
      <c r="AA122" s="21"/>
      <c r="AB122" s="144">
        <f>IF(AB106="Non",0,IF(AB108&gt;=0.5,IF(AB107&gt;Annexes!S5,Annexes!S5,ROUND(AB107,0)),0))</f>
        <v>0</v>
      </c>
      <c r="AC122" s="1"/>
      <c r="AD122" s="1"/>
      <c r="AE122" s="20"/>
    </row>
    <row r="123" spans="2:31" ht="15">
      <c r="B123" s="5"/>
      <c r="C123" s="5"/>
      <c r="D123" s="5"/>
      <c r="K123" s="9"/>
      <c r="O123" s="1"/>
      <c r="P123" s="1"/>
      <c r="T123" s="21"/>
      <c r="U123" s="267" t="s">
        <v>243</v>
      </c>
      <c r="V123" s="267"/>
      <c r="W123" s="267"/>
      <c r="X123" s="267"/>
      <c r="Y123" s="267"/>
      <c r="Z123" s="1"/>
      <c r="AA123" s="21"/>
      <c r="AB123" s="144">
        <f>_xlfn.IFERROR(IF('Mon Entreprise'!K8&gt;Annexes!S18,0,IF(AB119&gt;=0.5,IF(OR(AB114="OUI",AND(AB115="OUI",AB113&gt;=Annexes!T5),AB116=TRUE),IF(AB118*AB120&gt;Annexes!S6,Annexes!S6,ROUND(AB118*AB120,0)),IF(AND(AB115="OUI",AB113&lt;Annexes!T5),0,0)),0)),0)</f>
        <v>0</v>
      </c>
      <c r="AC123" s="1"/>
      <c r="AD123" s="1"/>
      <c r="AE123" s="20"/>
    </row>
    <row r="124" spans="2:31" ht="15">
      <c r="B124" s="6"/>
      <c r="C124" s="6"/>
      <c r="D124" s="6"/>
      <c r="O124" s="1"/>
      <c r="P124" s="1"/>
      <c r="Q124" s="1"/>
      <c r="T124" s="21"/>
      <c r="U124" s="1"/>
      <c r="V124" s="1"/>
      <c r="W124" s="1"/>
      <c r="X124" s="1"/>
      <c r="Y124" s="1"/>
      <c r="Z124" s="1"/>
      <c r="AA124" s="1"/>
      <c r="AB124" s="144"/>
      <c r="AC124" s="1"/>
      <c r="AD124" s="1"/>
      <c r="AE124" s="20"/>
    </row>
    <row r="125" spans="2:31" ht="15">
      <c r="B125" s="5"/>
      <c r="C125" s="5"/>
      <c r="D125" s="5"/>
      <c r="O125" s="1"/>
      <c r="P125" s="1"/>
      <c r="Q125" s="1"/>
      <c r="T125" s="22"/>
      <c r="U125" s="17"/>
      <c r="V125" s="17"/>
      <c r="W125" s="17"/>
      <c r="X125" s="17"/>
      <c r="Y125" s="17"/>
      <c r="Z125" s="17"/>
      <c r="AA125" s="17"/>
      <c r="AB125" s="17"/>
      <c r="AC125" s="17"/>
      <c r="AD125" s="17"/>
      <c r="AE125" s="4"/>
    </row>
    <row r="126" spans="17:22" ht="15">
      <c r="Q126" s="1"/>
      <c r="R126" s="1"/>
      <c r="S126" s="1"/>
      <c r="T126" s="1"/>
      <c r="U126" s="1"/>
      <c r="V126" s="1"/>
    </row>
    <row r="127" spans="2:22" ht="15">
      <c r="B127" s="5"/>
      <c r="C127" s="5"/>
      <c r="D127" s="5"/>
      <c r="Q127" s="1"/>
      <c r="R127" s="1"/>
      <c r="S127" s="1"/>
      <c r="T127" s="1"/>
      <c r="U127" s="1"/>
      <c r="V127" s="1"/>
    </row>
    <row r="128" spans="2:22" ht="15">
      <c r="B128" s="5"/>
      <c r="C128" s="5"/>
      <c r="D128" s="5"/>
      <c r="Q128" s="1"/>
      <c r="R128" s="1"/>
      <c r="S128" s="1"/>
      <c r="T128" s="1"/>
      <c r="U128" s="1"/>
      <c r="V128" s="1"/>
    </row>
    <row r="129" spans="18:22" ht="15">
      <c r="R129" s="1"/>
      <c r="S129" s="1"/>
      <c r="T129" s="1"/>
      <c r="U129" s="1"/>
      <c r="V129" s="1"/>
    </row>
    <row r="130" spans="18:20" ht="15">
      <c r="R130" s="1"/>
      <c r="S130" s="1"/>
      <c r="T130" s="1"/>
    </row>
  </sheetData>
  <sheetProtection algorithmName="SHA-512" hashValue="4XoT99+OPXQmbFdaEZYp21mhCLQSyYCmQFEtTDTwiVvTtM/i38jO+DhRtUfRyAujQowooV4+mo5wX8TlP4l4jg==" saltValue="2HEX805b2+O+1EPmmYqCyA==" spinCount="100000" sheet="1" selectLockedCells="1" selectUnlockedCells="1"/>
  <mergeCells count="76">
    <mergeCell ref="U122:Y122"/>
    <mergeCell ref="U123:Y123"/>
    <mergeCell ref="U106:Y106"/>
    <mergeCell ref="U107:Y107"/>
    <mergeCell ref="U108:Y108"/>
    <mergeCell ref="U109:Y109"/>
    <mergeCell ref="U120:Y120"/>
    <mergeCell ref="T76:W76"/>
    <mergeCell ref="T77:W77"/>
    <mergeCell ref="D77:O80"/>
    <mergeCell ref="D90:O94"/>
    <mergeCell ref="C87:O87"/>
    <mergeCell ref="U82:Y82"/>
    <mergeCell ref="U46:Y46"/>
    <mergeCell ref="U45:Y45"/>
    <mergeCell ref="T13:AE15"/>
    <mergeCell ref="T21:W21"/>
    <mergeCell ref="T20:W20"/>
    <mergeCell ref="T19:W19"/>
    <mergeCell ref="T39:W39"/>
    <mergeCell ref="T38:W38"/>
    <mergeCell ref="T37:W37"/>
    <mergeCell ref="U35:W35"/>
    <mergeCell ref="U24:Y24"/>
    <mergeCell ref="U25:Y25"/>
    <mergeCell ref="U26:Y26"/>
    <mergeCell ref="U27:Y27"/>
    <mergeCell ref="U18:W18"/>
    <mergeCell ref="U44:Y44"/>
    <mergeCell ref="U56:Y56"/>
    <mergeCell ref="U55:Y55"/>
    <mergeCell ref="U49:Y49"/>
    <mergeCell ref="U48:Y48"/>
    <mergeCell ref="U47:Y47"/>
    <mergeCell ref="B120:O120"/>
    <mergeCell ref="D113:O116"/>
    <mergeCell ref="U100:W100"/>
    <mergeCell ref="T102:W102"/>
    <mergeCell ref="T103:W103"/>
    <mergeCell ref="T104:W104"/>
    <mergeCell ref="D100:O103"/>
    <mergeCell ref="C106:O107"/>
    <mergeCell ref="E108:O109"/>
    <mergeCell ref="U118:Y118"/>
    <mergeCell ref="U119:Y119"/>
    <mergeCell ref="T113:Y113"/>
    <mergeCell ref="U114:Y114"/>
    <mergeCell ref="U115:Y115"/>
    <mergeCell ref="U116:Y116"/>
    <mergeCell ref="U117:Y117"/>
    <mergeCell ref="U83:Y83"/>
    <mergeCell ref="U84:Y84"/>
    <mergeCell ref="U81:Y81"/>
    <mergeCell ref="B11:O11"/>
    <mergeCell ref="F3:O6"/>
    <mergeCell ref="C58:O59"/>
    <mergeCell ref="B8:O8"/>
    <mergeCell ref="B9:O10"/>
    <mergeCell ref="B13:O13"/>
    <mergeCell ref="C18:I18"/>
    <mergeCell ref="T75:W75"/>
    <mergeCell ref="U43:Y43"/>
    <mergeCell ref="U42:Y42"/>
    <mergeCell ref="U74:W74"/>
    <mergeCell ref="T41:Y41"/>
    <mergeCell ref="U57:Y57"/>
    <mergeCell ref="C85:H85"/>
    <mergeCell ref="C32:H32"/>
    <mergeCell ref="C15:H15"/>
    <mergeCell ref="D24:O28"/>
    <mergeCell ref="D37:O41"/>
    <mergeCell ref="C44:O45"/>
    <mergeCell ref="D47:O48"/>
    <mergeCell ref="D60:O61"/>
    <mergeCell ref="D51:O54"/>
    <mergeCell ref="D65:O68"/>
  </mergeCells>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C230"/>
  </sheetPr>
  <dimension ref="A3:AH129"/>
  <sheetViews>
    <sheetView showGridLines="0" workbookViewId="0" topLeftCell="A1">
      <selection activeCell="B2" sqref="B2"/>
    </sheetView>
  </sheetViews>
  <sheetFormatPr defaultColWidth="11.421875" defaultRowHeight="15"/>
  <cols>
    <col min="2" max="2" width="6.00390625" style="0" customWidth="1"/>
    <col min="3" max="3" width="4.00390625" style="0" customWidth="1"/>
    <col min="7" max="7" width="7.8515625" style="0" customWidth="1"/>
    <col min="8" max="8" width="3.421875" style="0" customWidth="1"/>
    <col min="9" max="9" width="16.57421875" style="0" customWidth="1"/>
    <col min="10" max="10" width="4.421875" style="0" customWidth="1"/>
    <col min="11" max="11" width="10.57421875" style="0" customWidth="1"/>
    <col min="13" max="14" width="4.8515625" style="0" customWidth="1"/>
    <col min="15" max="15" width="17.28125" style="0" customWidth="1"/>
    <col min="19" max="19" width="7.57421875" style="0" customWidth="1"/>
    <col min="20" max="20" width="12.8515625" style="0" hidden="1" customWidth="1"/>
    <col min="21" max="23" width="11.421875" style="0" hidden="1" customWidth="1"/>
    <col min="24" max="24" width="4.421875" style="0" hidden="1" customWidth="1"/>
    <col min="25" max="25" width="15.140625" style="0" hidden="1" customWidth="1"/>
    <col min="26" max="26" width="3.00390625" style="0" hidden="1" customWidth="1"/>
    <col min="27" max="27" width="3.7109375" style="0" hidden="1" customWidth="1"/>
    <col min="28" max="28" width="12.8515625" style="0" hidden="1" customWidth="1"/>
    <col min="29" max="29" width="3.7109375" style="0" hidden="1" customWidth="1"/>
    <col min="30" max="30" width="3.8515625" style="0" hidden="1" customWidth="1"/>
    <col min="31" max="31" width="11.421875" style="0" hidden="1" customWidth="1"/>
  </cols>
  <sheetData>
    <row r="3" spans="2:18" ht="15" customHeight="1">
      <c r="B3" s="5"/>
      <c r="C3" s="99"/>
      <c r="D3" s="99"/>
      <c r="E3" s="99"/>
      <c r="F3" s="270" t="s">
        <v>247</v>
      </c>
      <c r="G3" s="270"/>
      <c r="H3" s="270"/>
      <c r="I3" s="270"/>
      <c r="J3" s="270"/>
      <c r="K3" s="270"/>
      <c r="L3" s="270"/>
      <c r="M3" s="270"/>
      <c r="N3" s="270"/>
      <c r="O3" s="270"/>
      <c r="R3" s="131"/>
    </row>
    <row r="4" spans="2:16" ht="15" customHeight="1">
      <c r="B4" s="99"/>
      <c r="C4" s="99"/>
      <c r="D4" s="99"/>
      <c r="E4" s="99"/>
      <c r="F4" s="270"/>
      <c r="G4" s="270"/>
      <c r="H4" s="270"/>
      <c r="I4" s="270"/>
      <c r="J4" s="270"/>
      <c r="K4" s="270"/>
      <c r="L4" s="270"/>
      <c r="M4" s="270"/>
      <c r="N4" s="270"/>
      <c r="O4" s="270"/>
      <c r="P4" s="121"/>
    </row>
    <row r="5" spans="2:15" ht="15" customHeight="1">
      <c r="B5" s="99"/>
      <c r="C5" s="99"/>
      <c r="D5" s="99"/>
      <c r="E5" s="99"/>
      <c r="F5" s="270"/>
      <c r="G5" s="270"/>
      <c r="H5" s="270"/>
      <c r="I5" s="270"/>
      <c r="J5" s="270"/>
      <c r="K5" s="270"/>
      <c r="L5" s="270"/>
      <c r="M5" s="270"/>
      <c r="N5" s="270"/>
      <c r="O5" s="270"/>
    </row>
    <row r="6" spans="2:15" ht="15" customHeight="1">
      <c r="B6" s="99"/>
      <c r="C6" s="99"/>
      <c r="D6" s="99"/>
      <c r="E6" s="99"/>
      <c r="F6" s="270"/>
      <c r="G6" s="270"/>
      <c r="H6" s="270"/>
      <c r="I6" s="270"/>
      <c r="J6" s="270"/>
      <c r="K6" s="270"/>
      <c r="L6" s="270"/>
      <c r="M6" s="270"/>
      <c r="N6" s="270"/>
      <c r="O6" s="270"/>
    </row>
    <row r="7" spans="2:14" ht="15">
      <c r="B7" s="147"/>
      <c r="C7" s="147"/>
      <c r="D7" s="147"/>
      <c r="E7" s="147"/>
      <c r="F7" s="147"/>
      <c r="G7" s="147"/>
      <c r="H7" s="147"/>
      <c r="I7" s="147"/>
      <c r="J7" s="147"/>
      <c r="K7" s="147"/>
      <c r="L7" s="147"/>
      <c r="M7" s="147"/>
      <c r="N7" s="147"/>
    </row>
    <row r="8" spans="2:15" ht="15.75" hidden="1">
      <c r="B8" s="269" t="s">
        <v>128</v>
      </c>
      <c r="C8" s="269"/>
      <c r="D8" s="269"/>
      <c r="E8" s="269"/>
      <c r="F8" s="269"/>
      <c r="G8" s="269"/>
      <c r="H8" s="269"/>
      <c r="I8" s="269"/>
      <c r="J8" s="269"/>
      <c r="K8" s="269"/>
      <c r="L8" s="269"/>
      <c r="M8" s="269"/>
      <c r="N8" s="269"/>
      <c r="O8" s="269"/>
    </row>
    <row r="9" spans="2:15" ht="15" customHeight="1" hidden="1">
      <c r="B9" s="272" t="s">
        <v>127</v>
      </c>
      <c r="C9" s="272"/>
      <c r="D9" s="272"/>
      <c r="E9" s="272"/>
      <c r="F9" s="272"/>
      <c r="G9" s="272"/>
      <c r="H9" s="272"/>
      <c r="I9" s="272"/>
      <c r="J9" s="272"/>
      <c r="K9" s="272"/>
      <c r="L9" s="272"/>
      <c r="M9" s="272"/>
      <c r="N9" s="272"/>
      <c r="O9" s="272"/>
    </row>
    <row r="10" spans="2:15" ht="15" customHeight="1" hidden="1">
      <c r="B10" s="272"/>
      <c r="C10" s="272"/>
      <c r="D10" s="272"/>
      <c r="E10" s="272"/>
      <c r="F10" s="272"/>
      <c r="G10" s="272"/>
      <c r="H10" s="272"/>
      <c r="I10" s="272"/>
      <c r="J10" s="272"/>
      <c r="K10" s="272"/>
      <c r="L10" s="272"/>
      <c r="M10" s="272"/>
      <c r="N10" s="272"/>
      <c r="O10" s="272"/>
    </row>
    <row r="11" spans="2:19" ht="15.75" hidden="1">
      <c r="B11" s="269" t="s">
        <v>221</v>
      </c>
      <c r="C11" s="269"/>
      <c r="D11" s="269"/>
      <c r="E11" s="269"/>
      <c r="F11" s="269"/>
      <c r="G11" s="269"/>
      <c r="H11" s="269"/>
      <c r="I11" s="269"/>
      <c r="J11" s="269"/>
      <c r="K11" s="269"/>
      <c r="L11" s="269"/>
      <c r="M11" s="269"/>
      <c r="N11" s="269"/>
      <c r="O11" s="269"/>
      <c r="P11" s="121"/>
      <c r="Q11" s="121"/>
      <c r="R11" s="121"/>
      <c r="S11" s="121"/>
    </row>
    <row r="12" ht="15" hidden="1">
      <c r="R12" t="s">
        <v>98</v>
      </c>
    </row>
    <row r="13" spans="2:34" ht="15" hidden="1">
      <c r="B13" s="183" t="s">
        <v>225</v>
      </c>
      <c r="C13" s="183"/>
      <c r="D13" s="183"/>
      <c r="E13" s="183"/>
      <c r="F13" s="183"/>
      <c r="G13" s="183"/>
      <c r="H13" s="183"/>
      <c r="I13" s="183"/>
      <c r="J13" s="183"/>
      <c r="K13" s="183"/>
      <c r="L13" s="183"/>
      <c r="M13" s="183"/>
      <c r="N13" s="183"/>
      <c r="O13" s="183"/>
      <c r="S13" s="131"/>
      <c r="T13" s="273" t="s">
        <v>126</v>
      </c>
      <c r="U13" s="273"/>
      <c r="V13" s="273"/>
      <c r="W13" s="273"/>
      <c r="X13" s="273"/>
      <c r="Y13" s="273"/>
      <c r="Z13" s="273"/>
      <c r="AA13" s="273"/>
      <c r="AB13" s="273"/>
      <c r="AC13" s="273"/>
      <c r="AD13" s="273"/>
      <c r="AE13" s="273"/>
      <c r="AF13" s="1"/>
      <c r="AG13" s="1"/>
      <c r="AH13" s="1"/>
    </row>
    <row r="14" spans="19:34" ht="15">
      <c r="S14" s="131"/>
      <c r="T14" s="273"/>
      <c r="U14" s="273"/>
      <c r="V14" s="273"/>
      <c r="W14" s="273"/>
      <c r="X14" s="273"/>
      <c r="Y14" s="273"/>
      <c r="Z14" s="273"/>
      <c r="AA14" s="273"/>
      <c r="AB14" s="273"/>
      <c r="AC14" s="273"/>
      <c r="AD14" s="273"/>
      <c r="AE14" s="273"/>
      <c r="AF14" s="1"/>
      <c r="AG14" s="1"/>
      <c r="AH14" s="1"/>
    </row>
    <row r="15" spans="2:34" ht="19.5" customHeight="1" thickBot="1">
      <c r="B15" s="81"/>
      <c r="C15" s="245" t="s">
        <v>112</v>
      </c>
      <c r="D15" s="245"/>
      <c r="E15" s="245"/>
      <c r="F15" s="245"/>
      <c r="G15" s="245"/>
      <c r="H15" s="245"/>
      <c r="I15" s="82"/>
      <c r="J15" s="81"/>
      <c r="K15" s="81"/>
      <c r="L15" s="81"/>
      <c r="M15" s="81"/>
      <c r="N15" s="81"/>
      <c r="O15" s="81"/>
      <c r="T15" s="273"/>
      <c r="U15" s="273"/>
      <c r="V15" s="273"/>
      <c r="W15" s="273"/>
      <c r="X15" s="273"/>
      <c r="Y15" s="273"/>
      <c r="Z15" s="273"/>
      <c r="AA15" s="273"/>
      <c r="AB15" s="273"/>
      <c r="AC15" s="273"/>
      <c r="AD15" s="273"/>
      <c r="AE15" s="273"/>
      <c r="AF15" s="1"/>
      <c r="AG15" s="1"/>
      <c r="AH15" s="1"/>
    </row>
    <row r="16" spans="2:34" ht="15" customHeight="1">
      <c r="B16" s="1"/>
      <c r="C16" s="134"/>
      <c r="D16" s="134"/>
      <c r="E16" s="134"/>
      <c r="F16" s="134"/>
      <c r="G16" s="134"/>
      <c r="H16" s="134"/>
      <c r="I16" s="55"/>
      <c r="J16" s="1"/>
      <c r="K16" s="1"/>
      <c r="L16" s="1"/>
      <c r="M16" s="1"/>
      <c r="N16" s="1"/>
      <c r="O16" s="1"/>
      <c r="S16" s="131"/>
      <c r="T16" s="170"/>
      <c r="U16" s="170"/>
      <c r="V16" s="170"/>
      <c r="W16" s="170"/>
      <c r="X16" s="170"/>
      <c r="Y16" s="170"/>
      <c r="Z16" s="170"/>
      <c r="AA16" s="170"/>
      <c r="AB16" s="170"/>
      <c r="AC16" s="170"/>
      <c r="AD16" s="170"/>
      <c r="AE16" s="170"/>
      <c r="AF16" s="1"/>
      <c r="AG16" s="1"/>
      <c r="AH16" s="1"/>
    </row>
    <row r="17" spans="2:34" ht="15">
      <c r="B17" s="55"/>
      <c r="C17" s="51"/>
      <c r="D17" s="51"/>
      <c r="E17" s="51"/>
      <c r="F17" s="51"/>
      <c r="G17" s="51"/>
      <c r="H17" s="51"/>
      <c r="I17" s="55"/>
      <c r="J17" s="55"/>
      <c r="K17" s="55"/>
      <c r="L17" s="55"/>
      <c r="M17" s="55"/>
      <c r="N17" s="55"/>
      <c r="O17" s="55"/>
      <c r="P17" s="1"/>
      <c r="Q17" s="1"/>
      <c r="R17" s="1"/>
      <c r="S17" s="131"/>
      <c r="T17" s="23"/>
      <c r="U17" s="18"/>
      <c r="V17" s="18"/>
      <c r="W17" s="18"/>
      <c r="X17" s="18"/>
      <c r="Y17" s="18"/>
      <c r="Z17" s="18"/>
      <c r="AA17" s="18"/>
      <c r="AB17" s="18"/>
      <c r="AC17" s="18"/>
      <c r="AD17" s="18"/>
      <c r="AE17" s="19"/>
      <c r="AF17" s="1"/>
      <c r="AG17" s="1"/>
      <c r="AH17" s="1"/>
    </row>
    <row r="18" spans="2:34" ht="15" customHeight="1">
      <c r="B18" s="51"/>
      <c r="C18" s="198" t="s">
        <v>122</v>
      </c>
      <c r="D18" s="198"/>
      <c r="E18" s="198"/>
      <c r="F18" s="198"/>
      <c r="G18" s="198"/>
      <c r="H18" s="198"/>
      <c r="I18" s="198"/>
      <c r="J18" s="51"/>
      <c r="K18" s="51"/>
      <c r="L18" s="51"/>
      <c r="M18" s="51"/>
      <c r="N18" s="51"/>
      <c r="O18" s="51"/>
      <c r="S18" s="131"/>
      <c r="T18" s="33"/>
      <c r="U18" s="273" t="s">
        <v>113</v>
      </c>
      <c r="V18" s="273"/>
      <c r="W18" s="273"/>
      <c r="X18" s="1"/>
      <c r="Y18" s="170" t="s">
        <v>97</v>
      </c>
      <c r="Z18" s="170"/>
      <c r="AA18" s="155"/>
      <c r="AB18" s="170" t="s">
        <v>116</v>
      </c>
      <c r="AC18" s="170"/>
      <c r="AD18" s="155"/>
      <c r="AE18" s="34" t="s">
        <v>117</v>
      </c>
      <c r="AF18" s="1"/>
      <c r="AG18" s="1"/>
      <c r="AH18" s="1"/>
    </row>
    <row r="19" spans="2:34" ht="15" customHeight="1">
      <c r="B19" s="51"/>
      <c r="C19" s="78" t="s">
        <v>98</v>
      </c>
      <c r="D19" s="166" t="s">
        <v>186</v>
      </c>
      <c r="E19" s="166"/>
      <c r="F19" s="166"/>
      <c r="G19" s="166"/>
      <c r="H19" s="166"/>
      <c r="I19" s="166"/>
      <c r="J19" s="167"/>
      <c r="K19" s="167"/>
      <c r="L19" s="167"/>
      <c r="M19" s="51"/>
      <c r="N19" s="51"/>
      <c r="O19" s="51"/>
      <c r="S19" s="131"/>
      <c r="T19" s="274" t="s">
        <v>114</v>
      </c>
      <c r="U19" s="267"/>
      <c r="V19" s="267"/>
      <c r="W19" s="267"/>
      <c r="X19" s="1"/>
      <c r="Y19" s="29">
        <f>'Mon Entreprise'!I52</f>
        <v>0</v>
      </c>
      <c r="Z19" s="29"/>
      <c r="AA19" s="30"/>
      <c r="AB19" s="29">
        <f>IF('Mon Entreprise'!I52-'Mon Entreprise'!M52&lt;0,0,'Mon Entreprise'!I52-'Mon Entreprise'!M52)</f>
        <v>0</v>
      </c>
      <c r="AC19" s="1"/>
      <c r="AD19" s="21"/>
      <c r="AE19" s="35">
        <f>_xlfn.IFERROR(1-'Mon Entreprise'!M52/'Mon Entreprise'!I52,0)</f>
        <v>0</v>
      </c>
      <c r="AF19" s="1"/>
      <c r="AG19" s="1"/>
      <c r="AH19" s="1"/>
    </row>
    <row r="20" spans="2:34" ht="15" customHeight="1">
      <c r="B20" s="51"/>
      <c r="C20" s="78"/>
      <c r="D20" s="78" t="str">
        <f>"Nombre de jours de fermetures au mois de Septembre : "&amp;IF(Annexes!M5=FALSE,0,IF(Annexes!O5=1,0,Annexes!O5-1))&amp;" jour(s)"</f>
        <v>Nombre de jours de fermetures au mois de Septembre : 0 jour(s)</v>
      </c>
      <c r="E20" s="78"/>
      <c r="F20" s="78"/>
      <c r="G20" s="78"/>
      <c r="H20" s="78"/>
      <c r="I20" s="78"/>
      <c r="J20" s="51"/>
      <c r="K20" s="51"/>
      <c r="L20" s="51"/>
      <c r="M20" s="51"/>
      <c r="N20" s="51"/>
      <c r="O20" s="51"/>
      <c r="S20" s="131"/>
      <c r="T20" s="274" t="s">
        <v>118</v>
      </c>
      <c r="U20" s="267"/>
      <c r="V20" s="267"/>
      <c r="W20" s="267"/>
      <c r="X20" s="1"/>
      <c r="Y20" s="29">
        <f>'Mon Entreprise'!I44*(Annexes!O5-1)/360</f>
        <v>0</v>
      </c>
      <c r="Z20" s="29"/>
      <c r="AA20" s="30"/>
      <c r="AB20" s="29">
        <f>IF('Mon Entreprise'!I44*(Annexes!O5-1)/360-'Mon Entreprise'!M52&lt;0,0,'Mon Entreprise'!I44*(Annexes!O5-1)/360-'Mon Entreprise'!M52)</f>
        <v>0</v>
      </c>
      <c r="AC20" s="12"/>
      <c r="AD20" s="21"/>
      <c r="AE20" s="35">
        <f>_xlfn.IFERROR(1-'Mon Entreprise'!M52/('Mon Entreprise'!I44*(Annexes!O5-1)/360),0)</f>
        <v>0</v>
      </c>
      <c r="AF20" s="1"/>
      <c r="AG20" s="1"/>
      <c r="AH20" s="1"/>
    </row>
    <row r="21" spans="2:34" ht="15" customHeight="1">
      <c r="B21" s="51"/>
      <c r="C21" s="78"/>
      <c r="D21" s="78"/>
      <c r="E21" s="166" t="str">
        <f>IF(Annexes!M5=FALSE,"Vous n'avez pas coché la case Fermeture administrative de Septembre à Octobre",IF(Annexes!O5=1,"Vous n'avez pas de jour de fermeture en septembre",""))</f>
        <v>Vous n'avez pas coché la case Fermeture administrative de Septembre à Octobre</v>
      </c>
      <c r="F21" s="122"/>
      <c r="G21" s="122"/>
      <c r="H21" s="122"/>
      <c r="I21" s="122"/>
      <c r="J21" s="122"/>
      <c r="K21" s="122"/>
      <c r="L21" s="122"/>
      <c r="M21" s="51"/>
      <c r="N21" s="51"/>
      <c r="O21" s="51"/>
      <c r="S21" s="131"/>
      <c r="T21" s="274" t="s">
        <v>115</v>
      </c>
      <c r="U21" s="267"/>
      <c r="V21" s="267"/>
      <c r="W21" s="267"/>
      <c r="X21" s="1"/>
      <c r="Y21" s="31" t="str">
        <f>_xlfn.IFERROR(IF(AND('Mon Entreprise'!K8&gt;=Annexes!S16,'Mon Entreprise'!K8&lt;=Annexes!U18),'Mon Entreprise'!I85,IF('Mon Entreprise'!K8&gt;=Annexes!U14,'Mon Entreprise'!I78,"NC")),"NC")</f>
        <v>NC</v>
      </c>
      <c r="Z21" s="31"/>
      <c r="AA21" s="30"/>
      <c r="AB21" s="31" t="str">
        <f>_xlfn.IFERROR(IF(AND('Mon Entreprise'!K8&gt;=Annexes!S16,'Mon Entreprise'!K8&lt;=Annexes!U18),IF('Mon Entreprise'!I85-'Mon Entreprise'!I55&lt;0,0,'Mon Entreprise'!I85-'Mon Entreprise'!I55),IF('Mon Entreprise'!K8&gt;=Annexes!U14,IF('Mon Entreprise'!I78-'Mon Entreprise'!I55&lt;0,0,'Mon Entreprise'!I78-'Mon Entreprise'!I55),"NC")),"NC")</f>
        <v>NC</v>
      </c>
      <c r="AC21" s="169"/>
      <c r="AD21" s="21"/>
      <c r="AE21" s="36" t="str">
        <f>_xlfn.IFERROR(IF(AND('Mon Entreprise'!K8&gt;=Annexes!S16,'Mon Entreprise'!K8&lt;=Annexes!S18),1-'Mon Entreprise'!I55/'Mon Entreprise'!I85,IF('Mon Entreprise'!K8&gt;=Annexes!U14,1-'Mon Entreprise'!I55/'Mon Entreprise'!I78,"NC")),"NC")</f>
        <v>NC</v>
      </c>
      <c r="AF21" s="1"/>
      <c r="AG21" s="1"/>
      <c r="AH21" s="1"/>
    </row>
    <row r="22" spans="2:34" ht="15" customHeight="1">
      <c r="B22" s="51"/>
      <c r="C22" s="78"/>
      <c r="D22" s="78" t="str">
        <f>_xlfn.IFERROR(IF('Mon Entreprise'!K8&gt;=Annexes!U14,"Le CA de référence est celui de la création, soit une perte de "&amp;ROUND(AB21,0)&amp;" €"&amp;" ==&gt; "&amp;ROUND(AE21*100,0)&amp;" %",IF(AB19&gt;=AB20,"Le CA de référence est celui de Septembre 2019, soit une perte de "&amp;ROUND(AB19,0)&amp;" €"&amp;" ==&gt; "&amp;ROUND(AE19*100,0)&amp;" %","Le CA de référence est celui de de l'exercice 2019, soit une perte de "&amp;ROUND(AB20,0)&amp;" €"&amp;" ==&gt; "&amp;ROUND(AE20*100,0)&amp;" %")),"")</f>
        <v>Le CA de référence est celui de Septembre 2019, soit une perte de 0 € ==&gt; 0 %</v>
      </c>
      <c r="E22" s="78"/>
      <c r="F22" s="78"/>
      <c r="G22" s="78"/>
      <c r="H22" s="78"/>
      <c r="I22" s="78"/>
      <c r="J22" s="51"/>
      <c r="K22" s="51"/>
      <c r="L22" s="51"/>
      <c r="M22" s="51"/>
      <c r="N22" s="51"/>
      <c r="O22" s="51"/>
      <c r="S22" s="131"/>
      <c r="T22" s="21"/>
      <c r="U22" s="1"/>
      <c r="V22" s="1"/>
      <c r="W22" s="1"/>
      <c r="X22" s="1"/>
      <c r="Y22" s="1"/>
      <c r="Z22" s="1"/>
      <c r="AA22" s="1"/>
      <c r="AB22" s="1"/>
      <c r="AC22" s="1"/>
      <c r="AD22" s="1"/>
      <c r="AE22" s="20"/>
      <c r="AF22" s="1"/>
      <c r="AG22" s="1"/>
      <c r="AH22" s="1"/>
    </row>
    <row r="23" spans="2:34" ht="15" customHeight="1" thickBot="1">
      <c r="B23" s="51"/>
      <c r="C23" s="51"/>
      <c r="D23" s="51"/>
      <c r="E23" s="51"/>
      <c r="F23" s="51"/>
      <c r="G23" s="51"/>
      <c r="H23" s="51"/>
      <c r="I23" s="51"/>
      <c r="J23" s="51"/>
      <c r="K23" s="51"/>
      <c r="L23" s="51"/>
      <c r="M23" s="51"/>
      <c r="N23" s="51"/>
      <c r="O23" s="51"/>
      <c r="S23" s="131"/>
      <c r="T23" s="21"/>
      <c r="U23" s="1"/>
      <c r="V23" s="1"/>
      <c r="W23" s="1"/>
      <c r="X23" s="1"/>
      <c r="Y23" s="1"/>
      <c r="Z23" s="1"/>
      <c r="AA23" s="1"/>
      <c r="AB23" s="1"/>
      <c r="AC23" s="1"/>
      <c r="AD23" s="1"/>
      <c r="AE23" s="20"/>
      <c r="AF23" s="1"/>
      <c r="AG23" s="1"/>
      <c r="AH23" s="1"/>
    </row>
    <row r="24" spans="2:34" ht="15">
      <c r="B24" s="51"/>
      <c r="C24" s="51"/>
      <c r="D24" s="299" t="str">
        <f>_xlfn.IFERROR(IF('Mon Entreprise'!K8="","Vous ne pouvez pas bénéficier du fonds de solidarité pour le mois de Septembre 2020",IF(AB24="NON","Vous avez débuté votre activité après le 31 Août 2020, vous ne pouvez donc pas bénéficier de cette aide pour le mois de Septembre",IF(#REF!="Non","Vous n'avez pas eu de fermeture administrative en septembre, vous ne pouvez donc pas bénéficier de cette aide pour le mois de Septembre",IF(AB26&gt;Annexes!S7*(Annexes!O5-1),"Dans votre cas, l'aide est Plafonnée sur 333 €/jour, soit "&amp;Annexes!S7*(Annexes!O5-1)&amp;" €, pour le mois de septembre","Vous pouvez bénéficier, au titre de cette aide, d'un montant "&amp;ROUND(IF(AB26&lt;0,0,AB26),0)&amp;" € pour le mois de septembre")))),"Vous n'avez pas indiqué de chiffre d'affaires de référence")</f>
        <v>Vous ne pouvez pas bénéficier du fonds de solidarité pour le mois de Septembre 2020</v>
      </c>
      <c r="E24" s="300"/>
      <c r="F24" s="300"/>
      <c r="G24" s="300"/>
      <c r="H24" s="300"/>
      <c r="I24" s="300"/>
      <c r="J24" s="300"/>
      <c r="K24" s="300"/>
      <c r="L24" s="300"/>
      <c r="M24" s="300"/>
      <c r="N24" s="300"/>
      <c r="O24" s="301"/>
      <c r="S24" s="131"/>
      <c r="T24" s="21"/>
      <c r="U24" s="268" t="s">
        <v>231</v>
      </c>
      <c r="V24" s="268"/>
      <c r="W24" s="268"/>
      <c r="X24" s="268"/>
      <c r="Y24" s="268"/>
      <c r="Z24" s="172"/>
      <c r="AA24" s="21"/>
      <c r="AB24" s="169" t="str">
        <f>IF('Mon Entreprise'!K8&lt;=Annexes!U18,"Oui","Non")</f>
        <v>Oui</v>
      </c>
      <c r="AC24" s="1"/>
      <c r="AD24" s="1"/>
      <c r="AE24" s="20"/>
      <c r="AF24" s="1"/>
      <c r="AG24" s="1"/>
      <c r="AH24" s="1"/>
    </row>
    <row r="25" spans="2:34" ht="15" customHeight="1">
      <c r="B25" s="1"/>
      <c r="C25" s="1"/>
      <c r="D25" s="302"/>
      <c r="E25" s="285"/>
      <c r="F25" s="285"/>
      <c r="G25" s="285"/>
      <c r="H25" s="285"/>
      <c r="I25" s="285"/>
      <c r="J25" s="285"/>
      <c r="K25" s="285"/>
      <c r="L25" s="285"/>
      <c r="M25" s="285"/>
      <c r="N25" s="285"/>
      <c r="O25" s="303"/>
      <c r="P25" s="1"/>
      <c r="Q25" s="1"/>
      <c r="R25" s="1"/>
      <c r="S25" s="131"/>
      <c r="T25" s="21"/>
      <c r="U25" s="267" t="s">
        <v>240</v>
      </c>
      <c r="V25" s="267"/>
      <c r="W25" s="267"/>
      <c r="X25" s="267"/>
      <c r="Y25" s="267"/>
      <c r="Z25" s="169"/>
      <c r="AA25" s="21"/>
      <c r="AB25" s="169">
        <f>IF(Annexes!M5=FALSE,0,IF(Annexes!O5=1,0,Annexes!O5-1))</f>
        <v>0</v>
      </c>
      <c r="AC25" s="1"/>
      <c r="AD25" s="1"/>
      <c r="AE25" s="20"/>
      <c r="AF25" s="1"/>
      <c r="AG25" s="1"/>
      <c r="AH25" s="1"/>
    </row>
    <row r="26" spans="2:34" ht="15" customHeight="1">
      <c r="B26" s="1"/>
      <c r="C26" s="1"/>
      <c r="D26" s="302"/>
      <c r="E26" s="285"/>
      <c r="F26" s="285"/>
      <c r="G26" s="285"/>
      <c r="H26" s="285"/>
      <c r="I26" s="285"/>
      <c r="J26" s="285"/>
      <c r="K26" s="285"/>
      <c r="L26" s="285"/>
      <c r="M26" s="285"/>
      <c r="N26" s="285"/>
      <c r="O26" s="303"/>
      <c r="P26" s="1"/>
      <c r="Q26" s="1"/>
      <c r="R26" s="1"/>
      <c r="S26" s="1"/>
      <c r="T26" s="21"/>
      <c r="U26" s="267" t="s">
        <v>242</v>
      </c>
      <c r="V26" s="267"/>
      <c r="W26" s="267"/>
      <c r="X26" s="267"/>
      <c r="Y26" s="267"/>
      <c r="Z26" s="159"/>
      <c r="AA26" s="21"/>
      <c r="AB26" s="169">
        <f>IF('Mon Entreprise'!K8&gt;=Annexes!U14,AB21,IF(AE19&gt;=AE20,AB19,AB20))</f>
        <v>0</v>
      </c>
      <c r="AC26" s="1"/>
      <c r="AD26" s="1"/>
      <c r="AE26" s="20"/>
      <c r="AF26" s="1"/>
      <c r="AG26" s="1"/>
      <c r="AH26" s="1"/>
    </row>
    <row r="27" spans="2:34" ht="15.75" thickBot="1">
      <c r="B27" s="1"/>
      <c r="C27" s="1"/>
      <c r="D27" s="304"/>
      <c r="E27" s="305"/>
      <c r="F27" s="305"/>
      <c r="G27" s="305"/>
      <c r="H27" s="305"/>
      <c r="I27" s="305"/>
      <c r="J27" s="305"/>
      <c r="K27" s="305"/>
      <c r="L27" s="305"/>
      <c r="M27" s="305"/>
      <c r="N27" s="305"/>
      <c r="O27" s="306"/>
      <c r="P27" s="1"/>
      <c r="Q27" s="1"/>
      <c r="R27" s="1"/>
      <c r="S27" s="1"/>
      <c r="T27" s="21"/>
      <c r="U27" s="1"/>
      <c r="V27" s="1"/>
      <c r="W27" s="1"/>
      <c r="X27" s="1"/>
      <c r="Y27" s="1"/>
      <c r="Z27" s="1"/>
      <c r="AA27" s="1"/>
      <c r="AB27" s="1"/>
      <c r="AC27" s="1"/>
      <c r="AD27" s="1"/>
      <c r="AE27" s="20"/>
      <c r="AF27" s="1"/>
      <c r="AG27" s="1"/>
      <c r="AH27" s="1"/>
    </row>
    <row r="28" spans="2:34" ht="15">
      <c r="B28" s="1"/>
      <c r="C28" s="1"/>
      <c r="D28" s="73" t="s">
        <v>245</v>
      </c>
      <c r="E28" s="1"/>
      <c r="F28" s="1"/>
      <c r="G28" s="1"/>
      <c r="H28" s="1"/>
      <c r="I28" s="1"/>
      <c r="J28" s="1"/>
      <c r="K28" s="1"/>
      <c r="L28" s="5"/>
      <c r="M28" s="1"/>
      <c r="N28" s="1"/>
      <c r="O28" s="1"/>
      <c r="P28" s="1"/>
      <c r="Q28" s="1"/>
      <c r="R28" s="1"/>
      <c r="S28" s="1"/>
      <c r="T28" s="21"/>
      <c r="U28" s="1"/>
      <c r="V28" s="1"/>
      <c r="W28" s="1"/>
      <c r="X28" s="1"/>
      <c r="Y28" s="1"/>
      <c r="Z28" s="1"/>
      <c r="AA28" s="1"/>
      <c r="AB28" s="1"/>
      <c r="AC28" s="1"/>
      <c r="AD28" s="1"/>
      <c r="AE28" s="20"/>
      <c r="AF28" s="1"/>
      <c r="AG28" s="1"/>
      <c r="AH28" s="1"/>
    </row>
    <row r="29" spans="2:34" ht="15">
      <c r="B29" s="14"/>
      <c r="C29" s="14"/>
      <c r="D29" s="14"/>
      <c r="K29" s="8"/>
      <c r="O29" s="1"/>
      <c r="P29" s="12"/>
      <c r="Q29" s="12"/>
      <c r="R29" s="12"/>
      <c r="S29" s="1"/>
      <c r="T29" s="21"/>
      <c r="U29" s="1"/>
      <c r="V29" s="1"/>
      <c r="W29" s="1"/>
      <c r="X29" s="1"/>
      <c r="Y29" s="1"/>
      <c r="Z29" s="1"/>
      <c r="AA29" s="1"/>
      <c r="AB29" s="1"/>
      <c r="AC29" s="1"/>
      <c r="AD29" s="1"/>
      <c r="AE29" s="20"/>
      <c r="AF29" s="1"/>
      <c r="AG29" s="1"/>
      <c r="AH29" s="1"/>
    </row>
    <row r="30" spans="2:34" ht="15" customHeight="1">
      <c r="B30" s="5"/>
      <c r="C30" s="5"/>
      <c r="D30" s="5"/>
      <c r="O30" s="1"/>
      <c r="P30" s="1"/>
      <c r="Q30" s="1"/>
      <c r="R30" s="1"/>
      <c r="S30" s="1"/>
      <c r="T30" s="21"/>
      <c r="U30" s="1"/>
      <c r="V30" s="1"/>
      <c r="W30" s="1"/>
      <c r="X30" s="1"/>
      <c r="Y30" s="1"/>
      <c r="Z30" s="1"/>
      <c r="AA30" s="1"/>
      <c r="AB30" s="1"/>
      <c r="AC30" s="1"/>
      <c r="AD30" s="1"/>
      <c r="AE30" s="20"/>
      <c r="AF30" s="1"/>
      <c r="AG30" s="1"/>
      <c r="AH30" s="1"/>
    </row>
    <row r="31" spans="2:34" ht="16.5" thickBot="1">
      <c r="B31" s="82"/>
      <c r="C31" s="245" t="s">
        <v>125</v>
      </c>
      <c r="D31" s="245"/>
      <c r="E31" s="245"/>
      <c r="F31" s="245"/>
      <c r="G31" s="245"/>
      <c r="H31" s="245"/>
      <c r="I31" s="82"/>
      <c r="J31" s="82"/>
      <c r="K31" s="82"/>
      <c r="L31" s="82"/>
      <c r="M31" s="82"/>
      <c r="N31" s="82"/>
      <c r="O31" s="82"/>
      <c r="Q31" s="121"/>
      <c r="S31" s="1"/>
      <c r="T31" s="22"/>
      <c r="U31" s="17"/>
      <c r="V31" s="17"/>
      <c r="W31" s="17"/>
      <c r="X31" s="17"/>
      <c r="Y31" s="17"/>
      <c r="Z31" s="17"/>
      <c r="AA31" s="17"/>
      <c r="AB31" s="17"/>
      <c r="AC31" s="17"/>
      <c r="AD31" s="17"/>
      <c r="AE31" s="4"/>
      <c r="AF31" s="1"/>
      <c r="AG31" s="1"/>
      <c r="AH31" s="1"/>
    </row>
    <row r="32" spans="2:34" ht="15">
      <c r="B32" s="55"/>
      <c r="C32" s="51"/>
      <c r="D32" s="51"/>
      <c r="E32" s="51"/>
      <c r="F32" s="51"/>
      <c r="G32" s="51"/>
      <c r="H32" s="136"/>
      <c r="I32" s="55"/>
      <c r="J32" s="55"/>
      <c r="K32" s="55"/>
      <c r="L32" s="55"/>
      <c r="M32" s="55"/>
      <c r="N32" s="55"/>
      <c r="O32" s="55"/>
      <c r="P32" s="1"/>
      <c r="Q32" s="1"/>
      <c r="R32" s="1"/>
      <c r="S32" s="1"/>
      <c r="T32" s="23"/>
      <c r="U32" s="18"/>
      <c r="V32" s="18"/>
      <c r="W32" s="18"/>
      <c r="X32" s="18"/>
      <c r="Y32" s="18"/>
      <c r="Z32" s="18"/>
      <c r="AA32" s="18"/>
      <c r="AB32" s="18"/>
      <c r="AC32" s="18"/>
      <c r="AD32" s="18"/>
      <c r="AE32" s="19"/>
      <c r="AF32" s="1"/>
      <c r="AG32" s="1"/>
      <c r="AH32" s="1"/>
    </row>
    <row r="33" spans="2:31" ht="15">
      <c r="B33" s="51"/>
      <c r="C33" s="78" t="s">
        <v>119</v>
      </c>
      <c r="D33" s="51"/>
      <c r="E33" s="51"/>
      <c r="F33" s="51"/>
      <c r="G33" s="51"/>
      <c r="H33" s="51"/>
      <c r="I33" s="51"/>
      <c r="J33" s="51"/>
      <c r="K33" s="51"/>
      <c r="L33" s="51"/>
      <c r="M33" s="51"/>
      <c r="N33" s="51"/>
      <c r="O33" s="51"/>
      <c r="T33" s="33"/>
      <c r="U33" s="1"/>
      <c r="V33" s="1"/>
      <c r="W33" s="1"/>
      <c r="X33" s="1"/>
      <c r="Y33" s="1"/>
      <c r="Z33" s="1"/>
      <c r="AA33" s="1"/>
      <c r="AB33" s="1"/>
      <c r="AC33" s="1"/>
      <c r="AD33" s="1"/>
      <c r="AE33" s="20"/>
    </row>
    <row r="34" spans="2:31" ht="15">
      <c r="B34" s="51"/>
      <c r="C34" s="78"/>
      <c r="D34" s="148" t="s">
        <v>120</v>
      </c>
      <c r="E34" s="51"/>
      <c r="F34" s="51"/>
      <c r="G34" s="51"/>
      <c r="H34" s="51"/>
      <c r="I34" s="51"/>
      <c r="J34" s="51"/>
      <c r="K34" s="51"/>
      <c r="L34" s="51"/>
      <c r="M34" s="51"/>
      <c r="N34" s="51"/>
      <c r="O34" s="51"/>
      <c r="T34" s="33"/>
      <c r="U34" s="273" t="s">
        <v>113</v>
      </c>
      <c r="V34" s="273"/>
      <c r="W34" s="273"/>
      <c r="X34" s="1"/>
      <c r="Y34" s="170" t="s">
        <v>97</v>
      </c>
      <c r="Z34" s="170"/>
      <c r="AA34" s="170"/>
      <c r="AB34" s="170" t="s">
        <v>116</v>
      </c>
      <c r="AC34" s="170"/>
      <c r="AD34" s="170"/>
      <c r="AE34" s="34" t="s">
        <v>117</v>
      </c>
    </row>
    <row r="35" spans="2:31" ht="15">
      <c r="B35" s="51"/>
      <c r="C35" s="78"/>
      <c r="D35" s="51"/>
      <c r="E35" s="51"/>
      <c r="F35" s="51"/>
      <c r="G35" s="51"/>
      <c r="H35" s="51"/>
      <c r="I35" s="51"/>
      <c r="J35" s="51"/>
      <c r="K35" s="51"/>
      <c r="L35" s="51"/>
      <c r="M35" s="51"/>
      <c r="N35" s="51"/>
      <c r="O35" s="51"/>
      <c r="T35" s="33"/>
      <c r="U35" s="170"/>
      <c r="V35" s="170"/>
      <c r="W35" s="170"/>
      <c r="X35" s="1"/>
      <c r="Y35" s="170"/>
      <c r="Z35" s="170"/>
      <c r="AA35" s="170"/>
      <c r="AB35" s="170"/>
      <c r="AC35" s="170"/>
      <c r="AD35" s="170"/>
      <c r="AE35" s="34"/>
    </row>
    <row r="36" spans="2:31" ht="15" hidden="1">
      <c r="B36" s="51"/>
      <c r="C36" s="51"/>
      <c r="D36" s="246" t="str">
        <f>_xlfn.IFERROR(IF(AND(AB54=0,AB55=0,AB56=0),"Vous ne pouvez pas bénéficier du fonds de solidarité pour le mois d'Octobre 2020",IF(AND(AB54&gt;AB55,AB54&gt;AB56),"Votre entreprise peut bénéficier d'une aide de "&amp;AB54&amp;" €, au titre des entreprises domiciliées dans des zones ayant subi des mesures de couvre-feu avec une perte de CA d'au-moins 50 % du CA en Octobre",IF(AB55&gt;AB56,"Votre entreprise peut bénéficier d'une aide de "&amp;AB55&amp;" €, au titre des entreprises domiciliées hors des zones ayant subi des mesures de couvre-feu avec une perte de CA d'au-moins "&amp;IF(AB46&gt;=0.7,70,50)&amp;" % du CA en Octobre","Votre entreprise peut bénéficier d'une aide de "&amp;AB56&amp;" €, au titre d'une fermeture Administrative au mois d'octobre"))),"Vous n'avez pas indiqué de chiffre d'affaires de référence")</f>
        <v>Vous ne pouvez pas bénéficier du fonds de solidarité pour le mois d'Octobre 2020</v>
      </c>
      <c r="E36" s="247"/>
      <c r="F36" s="247"/>
      <c r="G36" s="247"/>
      <c r="H36" s="247"/>
      <c r="I36" s="247"/>
      <c r="J36" s="247"/>
      <c r="K36" s="247"/>
      <c r="L36" s="247"/>
      <c r="M36" s="247"/>
      <c r="N36" s="247"/>
      <c r="O36" s="248"/>
      <c r="T36" s="274" t="s">
        <v>121</v>
      </c>
      <c r="U36" s="267"/>
      <c r="V36" s="267"/>
      <c r="W36" s="267"/>
      <c r="X36" s="1"/>
      <c r="Y36" s="12">
        <f>'Mon Entreprise'!I58</f>
        <v>0</v>
      </c>
      <c r="Z36" s="29"/>
      <c r="AA36" s="30"/>
      <c r="AB36" s="12">
        <f>IF('Mon Entreprise'!I58-'Mon Entreprise'!M58&lt;0,0,'Mon Entreprise'!I58-'Mon Entreprise'!M58)</f>
        <v>0</v>
      </c>
      <c r="AC36" s="1"/>
      <c r="AD36" s="21"/>
      <c r="AE36" s="35">
        <f>_xlfn.IFERROR(1-'Mon Entreprise'!M58/'Mon Entreprise'!I58,0)</f>
        <v>0</v>
      </c>
    </row>
    <row r="37" spans="4:31" ht="15" customHeight="1" hidden="1">
      <c r="D37" s="249"/>
      <c r="E37" s="250"/>
      <c r="F37" s="250"/>
      <c r="G37" s="250"/>
      <c r="H37" s="250"/>
      <c r="I37" s="250"/>
      <c r="J37" s="250"/>
      <c r="K37" s="250"/>
      <c r="L37" s="250"/>
      <c r="M37" s="250"/>
      <c r="N37" s="250"/>
      <c r="O37" s="251"/>
      <c r="T37" s="274" t="s">
        <v>118</v>
      </c>
      <c r="U37" s="267"/>
      <c r="V37" s="267"/>
      <c r="W37" s="267"/>
      <c r="X37" s="1"/>
      <c r="Y37" s="12">
        <f>'Mon Entreprise'!I46</f>
        <v>0</v>
      </c>
      <c r="Z37" s="29"/>
      <c r="AA37" s="30"/>
      <c r="AB37" s="12">
        <f>IF('Mon Entreprise'!I46-'Mon Entreprise'!M58&lt;0,0,'Mon Entreprise'!I46-'Mon Entreprise'!M58)</f>
        <v>0</v>
      </c>
      <c r="AC37" s="12"/>
      <c r="AD37" s="21"/>
      <c r="AE37" s="35">
        <f>_xlfn.IFERROR(1-'Mon Entreprise'!M58/'Mon Entreprise'!I46,0)</f>
        <v>0</v>
      </c>
    </row>
    <row r="38" spans="3:32" ht="15" customHeight="1" hidden="1">
      <c r="C38" s="126"/>
      <c r="D38" s="249"/>
      <c r="E38" s="250"/>
      <c r="F38" s="250"/>
      <c r="G38" s="250"/>
      <c r="H38" s="250"/>
      <c r="I38" s="250"/>
      <c r="J38" s="250"/>
      <c r="K38" s="250"/>
      <c r="L38" s="250"/>
      <c r="M38" s="250"/>
      <c r="N38" s="250"/>
      <c r="O38" s="251"/>
      <c r="Q38" s="121"/>
      <c r="R38" s="121"/>
      <c r="S38" s="121"/>
      <c r="T38" s="277" t="s">
        <v>115</v>
      </c>
      <c r="U38" s="278"/>
      <c r="V38" s="278"/>
      <c r="W38" s="278"/>
      <c r="X38" s="175"/>
      <c r="Y38" s="176" t="str">
        <f>IF('Mon Entreprise'!I77="","NC",'Mon Entreprise'!I77)</f>
        <v>NC</v>
      </c>
      <c r="Z38" s="177"/>
      <c r="AA38" s="178"/>
      <c r="AB38" s="179" t="str">
        <f>_xlfn.IFERROR(IF('Mon Entreprise'!I77-'Mon Entreprise'!M58&lt;0,0,'Mon Entreprise'!I77-'Mon Entreprise'!M58),"NC")</f>
        <v>NC</v>
      </c>
      <c r="AC38" s="180"/>
      <c r="AD38" s="181"/>
      <c r="AE38" s="182" t="str">
        <f>_xlfn.IFERROR(1-'Mon Entreprise'!M58/'Mon Entreprise'!I77,"NC")</f>
        <v>NC</v>
      </c>
      <c r="AF38" s="121"/>
    </row>
    <row r="39" spans="3:31" ht="15" customHeight="1" hidden="1">
      <c r="C39" s="126"/>
      <c r="D39" s="249"/>
      <c r="E39" s="250"/>
      <c r="F39" s="250"/>
      <c r="G39" s="250"/>
      <c r="H39" s="250"/>
      <c r="I39" s="250"/>
      <c r="J39" s="250"/>
      <c r="K39" s="250"/>
      <c r="L39" s="250"/>
      <c r="M39" s="250"/>
      <c r="N39" s="250"/>
      <c r="O39" s="251"/>
      <c r="T39" s="21"/>
      <c r="U39" s="1"/>
      <c r="V39" s="1"/>
      <c r="W39" s="1"/>
      <c r="X39" s="1"/>
      <c r="Y39" s="1"/>
      <c r="Z39" s="1"/>
      <c r="AA39" s="1"/>
      <c r="AB39" s="1"/>
      <c r="AC39" s="1"/>
      <c r="AD39" s="1"/>
      <c r="AE39" s="20"/>
    </row>
    <row r="40" spans="3:31" ht="15.75" customHeight="1" hidden="1" thickBot="1">
      <c r="C40" s="126"/>
      <c r="D40" s="252"/>
      <c r="E40" s="253"/>
      <c r="F40" s="253"/>
      <c r="G40" s="253"/>
      <c r="H40" s="253"/>
      <c r="I40" s="253"/>
      <c r="J40" s="253"/>
      <c r="K40" s="253"/>
      <c r="L40" s="253"/>
      <c r="M40" s="253"/>
      <c r="N40" s="253"/>
      <c r="O40" s="254"/>
      <c r="T40" s="276" t="s">
        <v>94</v>
      </c>
      <c r="U40" s="268"/>
      <c r="V40" s="268"/>
      <c r="W40" s="268"/>
      <c r="X40" s="268"/>
      <c r="Y40" s="268"/>
      <c r="Z40" s="153"/>
      <c r="AA40" s="21"/>
      <c r="AB40" s="27">
        <f>_xlfn.IFERROR(IF('Mon Entreprise'!K8&lt;Annexes!U19,IF(1-'Mon Entreprise'!M62/'Mon Entreprise'!I62&gt;=1-'Mon Entreprise'!M62/('Mon Entreprise'!I46*2),1-'Mon Entreprise'!M62/'Mon Entreprise'!I62,1-'Mon Entreprise'!M62/('Mon Entreprise'!I46*2)),1-'Mon Entreprise'!M62/'Mon Entreprise'!I70),0)</f>
        <v>0</v>
      </c>
      <c r="AC40" s="1"/>
      <c r="AD40" s="1"/>
      <c r="AE40" s="20"/>
    </row>
    <row r="41" spans="3:31" ht="18.75" customHeight="1">
      <c r="C41" s="102"/>
      <c r="D41" s="102"/>
      <c r="E41" s="102"/>
      <c r="F41" s="102"/>
      <c r="G41" s="102"/>
      <c r="H41" s="102"/>
      <c r="I41" s="102"/>
      <c r="J41" s="102"/>
      <c r="K41" s="102"/>
      <c r="L41" s="102"/>
      <c r="M41" s="102"/>
      <c r="N41" s="102"/>
      <c r="O41" s="102"/>
      <c r="T41" s="21"/>
      <c r="U41" s="268" t="s">
        <v>99</v>
      </c>
      <c r="V41" s="268"/>
      <c r="W41" s="268"/>
      <c r="X41" s="268"/>
      <c r="Y41" s="268"/>
      <c r="Z41" s="153"/>
      <c r="AA41" s="21"/>
      <c r="AB41" s="169" t="str">
        <f>IF((AND(Annexes!F5&gt;1,Annexes!F5&lt;61)),"OUI","NON")</f>
        <v>NON</v>
      </c>
      <c r="AC41" s="1"/>
      <c r="AD41" s="1"/>
      <c r="AE41" s="20"/>
    </row>
    <row r="42" spans="20:31" ht="15" customHeight="1">
      <c r="T42" s="21"/>
      <c r="U42" s="275" t="s">
        <v>100</v>
      </c>
      <c r="V42" s="275"/>
      <c r="W42" s="275"/>
      <c r="X42" s="275"/>
      <c r="Y42" s="275"/>
      <c r="Z42" s="154"/>
      <c r="AA42" s="21"/>
      <c r="AB42" s="169" t="str">
        <f>IF((AND(Annexes!F7&gt;1,Annexes!F7&lt;87)),"OUI","NON")</f>
        <v>NON</v>
      </c>
      <c r="AC42" s="1"/>
      <c r="AD42" s="1"/>
      <c r="AE42" s="20"/>
    </row>
    <row r="43" spans="3:31" ht="15" customHeight="1">
      <c r="C43" s="255" t="s">
        <v>229</v>
      </c>
      <c r="D43" s="255"/>
      <c r="E43" s="255"/>
      <c r="F43" s="255"/>
      <c r="G43" s="255"/>
      <c r="H43" s="255"/>
      <c r="I43" s="255"/>
      <c r="J43" s="255"/>
      <c r="K43" s="255"/>
      <c r="L43" s="255"/>
      <c r="M43" s="255"/>
      <c r="N43" s="255"/>
      <c r="O43" s="255"/>
      <c r="T43" s="21"/>
      <c r="U43" s="268" t="s">
        <v>230</v>
      </c>
      <c r="V43" s="268"/>
      <c r="W43" s="268"/>
      <c r="X43" s="268"/>
      <c r="Y43" s="268"/>
      <c r="Z43" s="153"/>
      <c r="AA43" s="21"/>
      <c r="AB43" s="169">
        <f>IF(AB41="OUI",Annexes!S6,IF(AND(AB42="OUI",AB40&gt;=0.8),Annexes!S6,Annexes!S5))</f>
        <v>1500</v>
      </c>
      <c r="AC43" s="1"/>
      <c r="AD43" s="1"/>
      <c r="AE43" s="20"/>
    </row>
    <row r="44" spans="3:31" ht="15" customHeight="1">
      <c r="C44" s="255"/>
      <c r="D44" s="255"/>
      <c r="E44" s="255"/>
      <c r="F44" s="255"/>
      <c r="G44" s="255"/>
      <c r="H44" s="255"/>
      <c r="I44" s="255"/>
      <c r="J44" s="255"/>
      <c r="K44" s="255"/>
      <c r="L44" s="255"/>
      <c r="M44" s="255"/>
      <c r="N44" s="255"/>
      <c r="O44" s="255"/>
      <c r="T44" s="21"/>
      <c r="U44" s="268" t="s">
        <v>231</v>
      </c>
      <c r="V44" s="268"/>
      <c r="W44" s="268"/>
      <c r="X44" s="268"/>
      <c r="Y44" s="268"/>
      <c r="Z44" s="153"/>
      <c r="AA44" s="21"/>
      <c r="AB44" s="169" t="str">
        <f>IF('Mon Entreprise'!K8&lt;=Annexes!S18,"Oui","Non")</f>
        <v>Oui</v>
      </c>
      <c r="AC44" s="1"/>
      <c r="AD44" s="1"/>
      <c r="AE44" s="20"/>
    </row>
    <row r="45" spans="3:31" ht="15" customHeight="1">
      <c r="C45" s="76"/>
      <c r="D45" s="148" t="str">
        <f>IF(Annexes!M9=FALSE,"- L'entreprise ne semble pas avoir été impactée par le couvre-Feu de 21H à 6H","- L'entreprise a été impactée par le couvre-Feu de 21H à 6H")</f>
        <v>- L'entreprise ne semble pas avoir été impactée par le couvre-Feu de 21H à 6H</v>
      </c>
      <c r="E45" s="77"/>
      <c r="F45" s="77"/>
      <c r="G45" s="77"/>
      <c r="H45" s="77"/>
      <c r="I45" s="77"/>
      <c r="J45" s="77"/>
      <c r="K45" s="77"/>
      <c r="L45" s="77"/>
      <c r="M45" s="148"/>
      <c r="N45" s="148"/>
      <c r="O45" s="148"/>
      <c r="T45" s="21"/>
      <c r="U45" s="268" t="s">
        <v>234</v>
      </c>
      <c r="V45" s="268"/>
      <c r="W45" s="268"/>
      <c r="X45" s="268"/>
      <c r="Y45" s="268"/>
      <c r="Z45" s="153"/>
      <c r="AA45" s="21"/>
      <c r="AB45" s="1">
        <f>IF('Mon Entreprise'!K8&gt;=Annexes!U14,AB38,IF(AB36&gt;=AB37,AB36,AB37))</f>
        <v>0</v>
      </c>
      <c r="AC45" s="1"/>
      <c r="AD45" s="1"/>
      <c r="AE45" s="20"/>
    </row>
    <row r="46" spans="3:31" ht="15" customHeight="1">
      <c r="C46" s="76"/>
      <c r="D46" s="256" t="str">
        <f>IF(AB41="OUI","- L'entreprise est mentionnée en annexe 1 (S1) du décret 2020-1328, et peut bénéficier à ce titre d'une aide plafonné à 10 000 €",IF(AND(AB42="OUI",AB40&gt;=0.8),"-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46" s="256"/>
      <c r="F46" s="256"/>
      <c r="G46" s="256"/>
      <c r="H46" s="256"/>
      <c r="I46" s="256"/>
      <c r="J46" s="256"/>
      <c r="K46" s="256"/>
      <c r="L46" s="256"/>
      <c r="M46" s="256"/>
      <c r="N46" s="256"/>
      <c r="O46" s="256"/>
      <c r="T46" s="21"/>
      <c r="U46" s="268" t="s">
        <v>235</v>
      </c>
      <c r="V46" s="268"/>
      <c r="W46" s="268"/>
      <c r="X46" s="268"/>
      <c r="Y46" s="268"/>
      <c r="Z46" s="153"/>
      <c r="AA46" s="21"/>
      <c r="AB46" s="13">
        <f>IF('Mon Entreprise'!K8&gt;=Annexes!U14,AE38,IF(AB36&gt;=AB37,AE36,AE37))</f>
        <v>0</v>
      </c>
      <c r="AC46" s="1"/>
      <c r="AD46" s="1"/>
      <c r="AE46" s="20"/>
    </row>
    <row r="47" spans="3:31" ht="15" customHeight="1">
      <c r="C47" s="76"/>
      <c r="D47" s="256"/>
      <c r="E47" s="256"/>
      <c r="F47" s="256"/>
      <c r="G47" s="256"/>
      <c r="H47" s="256"/>
      <c r="I47" s="256"/>
      <c r="J47" s="256"/>
      <c r="K47" s="256"/>
      <c r="L47" s="256"/>
      <c r="M47" s="256"/>
      <c r="N47" s="256"/>
      <c r="O47" s="256"/>
      <c r="T47" s="21"/>
      <c r="U47" s="268" t="s">
        <v>232</v>
      </c>
      <c r="V47" s="268"/>
      <c r="W47" s="268"/>
      <c r="X47" s="268"/>
      <c r="Y47" s="268"/>
      <c r="Z47" s="153"/>
      <c r="AA47" s="21"/>
      <c r="AB47" s="1">
        <f>IF(AB46&gt;=0.7,IF(AB41="OUI",Annexes!S6,IF(AND(AB42="OUI",AB40&gt;=0.8),Annexes!S6,0)),IF(AB46&gt;=0.5,IF(AB41="OUI",Annexes!S5,IF(AND(AB42="OUI",AB40&gt;=0.8),Annexes!S5,0)),0))</f>
        <v>0</v>
      </c>
      <c r="AC47" s="1"/>
      <c r="AD47" s="1"/>
      <c r="AE47" s="20"/>
    </row>
    <row r="48" spans="3:31" ht="15" customHeight="1">
      <c r="C48" s="76"/>
      <c r="D48" s="148" t="str">
        <f>_xlfn.IFERROR(IF('Mon Entreprise'!K8&gt;=Annexes!U14,"- Le CA de référence est celui de la création, soit une perte de "&amp;ROUND(AB38,0)&amp;" €"&amp;" ==&gt; "&amp;ROUND(AE38*100,0)&amp;" %",IF(AE36&gt;=AE37,"- Le CA de référence est celui de Octobre 2019, soit une perte de "&amp;ROUND(AB36,0)&amp;" €"&amp;" ==&gt; "&amp;ROUND(AE36*100,0)&amp;" %","- Le CA de référence est celui de de l'exercice 2019, soit une perte de "&amp;ROUND(AB37,0)&amp;" €"&amp;" ==&gt; "&amp;ROUND(AE37*100,0)&amp;" %")),"")</f>
        <v>- Le CA de référence est celui de Octobre 2019, soit une perte de 0 € ==&gt; 0 %</v>
      </c>
      <c r="E48" s="148"/>
      <c r="F48" s="148"/>
      <c r="G48" s="148"/>
      <c r="H48" s="148"/>
      <c r="I48" s="148"/>
      <c r="J48" s="148"/>
      <c r="K48" s="148"/>
      <c r="L48" s="148"/>
      <c r="M48" s="148"/>
      <c r="N48" s="148"/>
      <c r="O48" s="148"/>
      <c r="T48" s="21"/>
      <c r="U48" s="268" t="s">
        <v>233</v>
      </c>
      <c r="V48" s="268"/>
      <c r="W48" s="268"/>
      <c r="X48" s="268"/>
      <c r="Y48" s="268"/>
      <c r="Z48" s="153"/>
      <c r="AA48" s="21"/>
      <c r="AB48" s="1">
        <f>IF(AB46&gt;=0.7,IF(AB41="OUI",Annexes!T6,IF(AND(AB42="OUI",AB40&gt;=0.8),Annexes!T6,1)),1)</f>
        <v>1</v>
      </c>
      <c r="AC48" s="1"/>
      <c r="AD48" s="1"/>
      <c r="AE48" s="20"/>
    </row>
    <row r="49" spans="3:31" ht="15" customHeight="1" thickBot="1">
      <c r="C49" s="76"/>
      <c r="D49" s="76"/>
      <c r="E49" s="76"/>
      <c r="F49" s="76"/>
      <c r="G49" s="76"/>
      <c r="H49" s="76"/>
      <c r="I49" s="76"/>
      <c r="J49" s="76"/>
      <c r="K49" s="76"/>
      <c r="L49" s="76"/>
      <c r="M49" s="76"/>
      <c r="N49" s="76"/>
      <c r="O49" s="76"/>
      <c r="T49" s="21"/>
      <c r="U49" s="1"/>
      <c r="V49" s="1"/>
      <c r="W49" s="1"/>
      <c r="X49" s="1"/>
      <c r="Y49" s="1"/>
      <c r="Z49" s="1"/>
      <c r="AA49" s="1"/>
      <c r="AB49" s="1"/>
      <c r="AC49" s="1"/>
      <c r="AD49" s="1"/>
      <c r="AE49" s="20"/>
    </row>
    <row r="50" spans="4:31" ht="15.75" customHeight="1">
      <c r="D50" s="258" t="str">
        <f>_xlfn.IFERROR(IF(AB44="Non","Vous avez débuté votre activité après le 30 Septembre 2020, vous ne pouvez donc pas bénéficier de cette aide",IF(Annexes!M9=FALSE,"L'entreprise ne semble pas avoir été impactée par le couvre-Feu de 21H à 6H",IF(AB46&gt;=0.5,IF(AB43=Annexes!S6,IF(AB45&gt;=Annexes!S6,"Dans votre cas, l'aide est Plafonnée, à "&amp;Annexes!S6&amp;" € pour le mois d'octobre",IF(AB45=0,"Vous n'avez pas indiqué de CA de référence","Vous pouvez bénéficier, au titre de cette aide, d'un montant "&amp;ROUND(AB45,0)&amp;" € pour le mois d'octobre")),IF(AB43=Annexes!S5,IF(AB45&gt;Annexes!S5,"Dans votre cas, l'aide est Plafonnée, à "&amp;Annexes!S5&amp;" € pour le mois d'octobre",IF(AB45=0,"Vous n'avez pas indiqué de CA de référence","Vous pouvez bénéficier, au titre de cette aide, d'un montant "&amp;ROUND(AB45,0)&amp;" € pour le mois d'octobre.")),)),"L'entreprise n'a pas subi de perte d'au-moins 50 % sur son CA d'Octobre 2020"))),"Vous n'avez pas indiqué de chiffre d'affaires de référence")</f>
        <v>L'entreprise ne semble pas avoir été impactée par le couvre-Feu de 21H à 6H</v>
      </c>
      <c r="E50" s="259"/>
      <c r="F50" s="259"/>
      <c r="G50" s="259"/>
      <c r="H50" s="259"/>
      <c r="I50" s="259"/>
      <c r="J50" s="259"/>
      <c r="K50" s="259"/>
      <c r="L50" s="259"/>
      <c r="M50" s="259"/>
      <c r="N50" s="259"/>
      <c r="O50" s="260"/>
      <c r="T50" s="21"/>
      <c r="U50" s="1"/>
      <c r="V50" s="1"/>
      <c r="W50" s="1"/>
      <c r="X50" s="1"/>
      <c r="Y50" s="1"/>
      <c r="Z50" s="1"/>
      <c r="AA50" s="1"/>
      <c r="AB50" s="1"/>
      <c r="AC50" s="1"/>
      <c r="AD50" s="1"/>
      <c r="AE50" s="20"/>
    </row>
    <row r="51" spans="4:31" ht="15" customHeight="1">
      <c r="D51" s="261"/>
      <c r="E51" s="262"/>
      <c r="F51" s="262"/>
      <c r="G51" s="262"/>
      <c r="H51" s="262"/>
      <c r="I51" s="262"/>
      <c r="J51" s="262"/>
      <c r="K51" s="262"/>
      <c r="L51" s="262"/>
      <c r="M51" s="262"/>
      <c r="N51" s="262"/>
      <c r="O51" s="263"/>
      <c r="T51" s="21"/>
      <c r="U51" s="1"/>
      <c r="V51" s="1"/>
      <c r="W51" s="1"/>
      <c r="X51" s="1"/>
      <c r="Y51" s="1"/>
      <c r="Z51" s="1"/>
      <c r="AA51" s="1"/>
      <c r="AB51" s="1"/>
      <c r="AC51" s="1"/>
      <c r="AD51" s="1"/>
      <c r="AE51" s="20"/>
    </row>
    <row r="52" spans="4:31" ht="15" customHeight="1">
      <c r="D52" s="261"/>
      <c r="E52" s="262"/>
      <c r="F52" s="262"/>
      <c r="G52" s="262"/>
      <c r="H52" s="262"/>
      <c r="I52" s="262"/>
      <c r="J52" s="262"/>
      <c r="K52" s="262"/>
      <c r="L52" s="262"/>
      <c r="M52" s="262"/>
      <c r="N52" s="262"/>
      <c r="O52" s="263"/>
      <c r="T52" s="21"/>
      <c r="U52" s="1"/>
      <c r="V52" s="1"/>
      <c r="W52" s="1"/>
      <c r="X52" s="1"/>
      <c r="Y52" s="1"/>
      <c r="Z52" s="1"/>
      <c r="AA52" s="1"/>
      <c r="AB52" s="1"/>
      <c r="AC52" s="1"/>
      <c r="AD52" s="1"/>
      <c r="AE52" s="20"/>
    </row>
    <row r="53" spans="4:31" ht="15" customHeight="1" thickBot="1">
      <c r="D53" s="264"/>
      <c r="E53" s="265"/>
      <c r="F53" s="265"/>
      <c r="G53" s="265"/>
      <c r="H53" s="265"/>
      <c r="I53" s="265"/>
      <c r="J53" s="265"/>
      <c r="K53" s="265"/>
      <c r="L53" s="265"/>
      <c r="M53" s="265"/>
      <c r="N53" s="265"/>
      <c r="O53" s="266"/>
      <c r="T53" s="21"/>
      <c r="U53" s="1"/>
      <c r="V53" s="1"/>
      <c r="W53" s="1"/>
      <c r="X53" s="1"/>
      <c r="Y53" s="1"/>
      <c r="Z53" s="1"/>
      <c r="AA53" s="1"/>
      <c r="AB53" s="1"/>
      <c r="AC53" s="1"/>
      <c r="AD53" s="1"/>
      <c r="AE53" s="20"/>
    </row>
    <row r="54" spans="20:31" ht="15.75" customHeight="1">
      <c r="T54" s="21"/>
      <c r="U54" s="267" t="s">
        <v>236</v>
      </c>
      <c r="V54" s="267"/>
      <c r="W54" s="267"/>
      <c r="X54" s="267"/>
      <c r="Y54" s="267"/>
      <c r="Z54" s="1"/>
      <c r="AA54" s="21"/>
      <c r="AB54" s="1">
        <f>_xlfn.IFERROR(IF(AB44="Non",0,IF(Annexes!M9=FALSE,0,IF(AB46&gt;=0.5,IF(AB43=Annexes!S6,IF(AB45&gt;=Annexes!S6,Annexes!S6,IF(AB45=0,0,ROUND(AB45,0))),IF(AB43=Annexes!S5,IF(AB45&gt;Annexes!S5,Annexes!S5,IF(AB45=0,0,ROUND(AB45,0))),)),0))),0)</f>
        <v>0</v>
      </c>
      <c r="AC54" s="1"/>
      <c r="AD54" s="1"/>
      <c r="AE54" s="20"/>
    </row>
    <row r="55" spans="3:31" ht="15" customHeight="1">
      <c r="C55" s="100"/>
      <c r="D55" s="100"/>
      <c r="E55" s="100"/>
      <c r="F55" s="100"/>
      <c r="G55" s="100"/>
      <c r="H55" s="100"/>
      <c r="I55" s="100"/>
      <c r="J55" s="100"/>
      <c r="K55" s="100"/>
      <c r="L55" s="100"/>
      <c r="M55" s="100"/>
      <c r="N55" s="100"/>
      <c r="O55" s="100"/>
      <c r="T55" s="21"/>
      <c r="U55" s="267" t="s">
        <v>237</v>
      </c>
      <c r="V55" s="267"/>
      <c r="W55" s="267"/>
      <c r="X55" s="267"/>
      <c r="Y55" s="267"/>
      <c r="Z55" s="1"/>
      <c r="AA55" s="21"/>
      <c r="AB55" s="1">
        <f>_xlfn.IFERROR(IF(AB44="Non",0,IF(AB46&gt;=0.7,IF(AB41="OUI",IF(AB45*AB48&gt;=Annexes!S6,Annexes!S6,ROUND(AB45*AB48,0)),IF(AND(AB42="OUI",AB40&gt;=0.8),IF(AB45*AB48&gt;=Annexes!S6,Annexes!S6,ROUND(AB45*AB48,0)),0)),IF(AB46&gt;=0.5,IF(AB41="OUI",IF(AB45&gt;=Annexes!S5,Annexes!S5,ROUND(AB45,0)),IF(AND(AB42="OUI",AB40&gt;=0.8),IF(AB45&gt;=Annexes!S5,Annexes!S5,ROUND(AB45,0)),0)),0))),0)</f>
        <v>0</v>
      </c>
      <c r="AC55" s="1"/>
      <c r="AD55" s="1"/>
      <c r="AE55" s="20"/>
    </row>
    <row r="56" spans="20:31" ht="15" customHeight="1">
      <c r="T56" s="21"/>
      <c r="U56" s="267" t="s">
        <v>238</v>
      </c>
      <c r="V56" s="267"/>
      <c r="W56" s="267"/>
      <c r="X56" s="267"/>
      <c r="Y56" s="267"/>
      <c r="Z56" s="1"/>
      <c r="AA56" s="21"/>
      <c r="AB56" s="1">
        <f>_xlfn.IFERROR(IF(AB80="NON",0,IF(AB82="Non",0,IF(AB83&gt;Annexes!S7*(Annexes!Q5-1),IF(Annexes!S7*(Annexes!Q5-1)&gt;10000,10000,Annexes!S7*(Annexes!Q5-1)),ROUND(IF(AB83&gt;10000,10000,AB83),0)))),0)</f>
        <v>0</v>
      </c>
      <c r="AC56" s="1"/>
      <c r="AD56" s="1"/>
      <c r="AE56" s="20"/>
    </row>
    <row r="57" spans="3:31" ht="15" customHeight="1">
      <c r="C57" s="271" t="s">
        <v>239</v>
      </c>
      <c r="D57" s="271"/>
      <c r="E57" s="271"/>
      <c r="F57" s="271"/>
      <c r="G57" s="271"/>
      <c r="H57" s="271"/>
      <c r="I57" s="271"/>
      <c r="J57" s="271"/>
      <c r="K57" s="271"/>
      <c r="L57" s="271"/>
      <c r="M57" s="271"/>
      <c r="N57" s="271"/>
      <c r="O57" s="271"/>
      <c r="P57" s="51"/>
      <c r="T57" s="21"/>
      <c r="U57" s="1"/>
      <c r="V57" s="1"/>
      <c r="W57" s="1"/>
      <c r="X57" s="1"/>
      <c r="Y57" s="1"/>
      <c r="Z57" s="1"/>
      <c r="AA57" s="1"/>
      <c r="AB57" s="1"/>
      <c r="AC57" s="1"/>
      <c r="AD57" s="1"/>
      <c r="AE57" s="20"/>
    </row>
    <row r="58" spans="3:31" ht="15" customHeight="1">
      <c r="C58" s="271"/>
      <c r="D58" s="271"/>
      <c r="E58" s="271"/>
      <c r="F58" s="271"/>
      <c r="G58" s="271"/>
      <c r="H58" s="271"/>
      <c r="I58" s="271"/>
      <c r="J58" s="271"/>
      <c r="K58" s="271"/>
      <c r="L58" s="271"/>
      <c r="M58" s="271"/>
      <c r="N58" s="271"/>
      <c r="O58" s="271"/>
      <c r="P58" s="51"/>
      <c r="T58" s="21"/>
      <c r="U58" s="1"/>
      <c r="V58" s="1"/>
      <c r="W58" s="1"/>
      <c r="X58" s="1"/>
      <c r="Y58" s="1"/>
      <c r="Z58" s="1"/>
      <c r="AA58" s="1"/>
      <c r="AB58" s="1"/>
      <c r="AC58" s="1"/>
      <c r="AD58" s="1"/>
      <c r="AE58" s="20"/>
    </row>
    <row r="59" spans="3:31" ht="15" customHeight="1">
      <c r="C59" s="78"/>
      <c r="D59" s="257" t="str">
        <f>IF(AB46&gt;=0.7,IF(AB41="OUI","- L'entreprise a subi une perte d'au-moins 70 % en Octobre 2020 et est mentionnée en annexe 1 (S1) du décret 2020-1328, l'entreprise peut bénéficier à ce titre d'une aide plafonné à 10 000 €",IF(AND(AB42="OUI",AB40&gt;=0.8),"-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aide")),IF(AB46&gt;=0.5,IF(AB41="OUI","- L'entreprise a subi une perte d'au-moins 50 % en Octobre 2020 et est mentionnée en annexe 1 (S1) du décret 2020-1328, l'entreprise peut bénéficier à ce titre d'une aide plafonné à 1 500 €",IF(AND(AB42="OUI",AB40&gt;=0.8),"-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59" s="257"/>
      <c r="F59" s="257"/>
      <c r="G59" s="257"/>
      <c r="H59" s="257"/>
      <c r="I59" s="257"/>
      <c r="J59" s="257"/>
      <c r="K59" s="257"/>
      <c r="L59" s="257"/>
      <c r="M59" s="257"/>
      <c r="N59" s="257"/>
      <c r="O59" s="257"/>
      <c r="P59" s="51"/>
      <c r="T59" s="21"/>
      <c r="U59" s="1"/>
      <c r="V59" s="1"/>
      <c r="W59" s="1"/>
      <c r="X59" s="1"/>
      <c r="Y59" s="1"/>
      <c r="Z59" s="1"/>
      <c r="AA59" s="1"/>
      <c r="AB59" s="1"/>
      <c r="AC59" s="1"/>
      <c r="AD59" s="1"/>
      <c r="AE59" s="20"/>
    </row>
    <row r="60" spans="3:31" ht="15" customHeight="1">
      <c r="C60" s="78"/>
      <c r="D60" s="257"/>
      <c r="E60" s="257"/>
      <c r="F60" s="257"/>
      <c r="G60" s="257"/>
      <c r="H60" s="257"/>
      <c r="I60" s="257"/>
      <c r="J60" s="257"/>
      <c r="K60" s="257"/>
      <c r="L60" s="257"/>
      <c r="M60" s="257"/>
      <c r="N60" s="257"/>
      <c r="O60" s="257"/>
      <c r="P60" s="51"/>
      <c r="T60" s="168"/>
      <c r="U60" s="1"/>
      <c r="V60" s="1"/>
      <c r="W60" s="1"/>
      <c r="X60" s="1"/>
      <c r="Y60" s="1"/>
      <c r="Z60" s="1"/>
      <c r="AA60" s="1"/>
      <c r="AB60" s="1"/>
      <c r="AC60" s="1"/>
      <c r="AD60" s="1"/>
      <c r="AE60" s="20"/>
    </row>
    <row r="61" spans="3:31" ht="15" customHeight="1">
      <c r="C61" s="78"/>
      <c r="D61" s="78" t="str">
        <f>_xlfn.IFERROR(IF('Mon Entreprise'!K8&gt;=Annexes!U14,"- Le CA de référence est celui de la création, soit une perte de "&amp;ROUND(AB38,0)&amp;" €"&amp;" ==&gt; "&amp;ROUND(AE38*100,0)&amp;" %",IF(AB36&gt;=AB37,"- Le CA de référence est celui de Octobre 2019, soit une perte de "&amp;ROUND(AB36,0)&amp;" €"&amp;" ==&gt; "&amp;ROUND(AE36*100,0)&amp;" %","- Le CA de référence est celui de de l'exercice 2019, soit une perte de "&amp;ROUND(AB37,0)&amp;" €"&amp;" ==&gt; "&amp;ROUND(AE37*100,0)&amp;" %")),"")</f>
        <v>- Le CA de référence est celui de Octobre 2019, soit une perte de 0 € ==&gt; 0 %</v>
      </c>
      <c r="E61" s="78"/>
      <c r="F61" s="78"/>
      <c r="G61" s="78"/>
      <c r="H61" s="151"/>
      <c r="I61" s="78"/>
      <c r="J61" s="78"/>
      <c r="K61" s="78"/>
      <c r="M61" s="78"/>
      <c r="N61" s="78"/>
      <c r="O61" s="78"/>
      <c r="P61" s="51"/>
      <c r="T61" s="37"/>
      <c r="U61" s="1"/>
      <c r="V61" s="1"/>
      <c r="W61" s="1"/>
      <c r="X61" s="1"/>
      <c r="Y61" s="1"/>
      <c r="Z61" s="1"/>
      <c r="AA61" s="1"/>
      <c r="AB61" s="1"/>
      <c r="AC61" s="1"/>
      <c r="AD61" s="1"/>
      <c r="AE61" s="20"/>
    </row>
    <row r="62" spans="3:31" ht="15" customHeight="1">
      <c r="C62" s="78"/>
      <c r="D62" s="78" t="str">
        <f>IF(AB46&gt;=0.7,IF(AB41="OUI","- Le CA de référence est plafonné à 60 %, il est donc de "&amp;ROUND(AB45*0.6,0)&amp;" €",IF(AND(AB42="OUI",AB40&gt;=0.8),"- Le CA de référence est plafonné à 60 %, il est donc de "&amp;ROUND(AB45*0.6,0)&amp;" €","- Sans ticket modérateur")),"- Sans ticket modérateur")</f>
        <v>- Sans ticket modérateur</v>
      </c>
      <c r="E62" s="78"/>
      <c r="F62" s="78"/>
      <c r="G62" s="78"/>
      <c r="H62" s="78"/>
      <c r="I62" s="78"/>
      <c r="J62" s="78"/>
      <c r="K62" s="78"/>
      <c r="L62" s="78"/>
      <c r="M62" s="78"/>
      <c r="N62" s="78"/>
      <c r="O62" s="78"/>
      <c r="P62" s="51"/>
      <c r="T62" s="21"/>
      <c r="U62" s="1"/>
      <c r="V62" s="1"/>
      <c r="W62" s="1"/>
      <c r="X62" s="1"/>
      <c r="Y62" s="1"/>
      <c r="Z62" s="1"/>
      <c r="AA62" s="1"/>
      <c r="AB62" s="1"/>
      <c r="AC62" s="1"/>
      <c r="AD62" s="1"/>
      <c r="AE62" s="20"/>
    </row>
    <row r="63" spans="20:31" ht="15" customHeight="1" thickBot="1">
      <c r="T63" s="38"/>
      <c r="U63" s="1"/>
      <c r="V63" s="1"/>
      <c r="W63" s="1"/>
      <c r="X63" s="1"/>
      <c r="Y63" s="1"/>
      <c r="Z63" s="1"/>
      <c r="AA63" s="1"/>
      <c r="AB63" s="1"/>
      <c r="AC63" s="1"/>
      <c r="AD63" s="1"/>
      <c r="AE63" s="20"/>
    </row>
    <row r="64" spans="4:31" ht="15" customHeight="1">
      <c r="D64" s="258" t="str">
        <f>_xlfn.IFERROR(IF(AB44="Non","Vous avez débuté votre activité après le 30 Septembre 2020, vous ne pouvez donc pas bénéficier de cette aide",IF(AB46&gt;=0.7,IF(AB41="OUI",IF(AB45*AB48&gt;=Annexes!S6,"Dans votre cas, l'aide est Plafonnée, à "&amp;Annexes!S6&amp;" € pour le mois d'octobre","Vous pouvez bénéficier, au titre de cette aide, d'un montant "&amp;ROUND(AB45*AB48,0)&amp;" € pour le mois d'octobre"),IF(AND(AB42="OUI",AB40&gt;=0.8),IF(AB45*AB48&gt;=Annexes!S6,"Dans votre cas, l'aide est Plafonnée, à "&amp;Annexes!S6&amp;" € pour le mois d'octobre","Vous pouvez bénéficier, au titre de cette aide, d'un montant "&amp;ROUND(AB45*AB48,0)&amp;" € pour le mois d'octobre"),"L'entreprise n'est pas mentionnée en annexe 1 (S1) ou en annexe 2 (S1 bis) du décret 2020-1328 et ayant subi une perte de CA d'au moins 80 % entre le 15/03/2020 et le 15/05/2020, l'entreprise ne peut donc pas bénéficier de cette aide")),IF(AB46&gt;=0.5,IF(AB41="OUI",IF(AB45&gt;=Annexes!S5,"Dans votre cas, l'aide est Plafonnée, à "&amp;Annexes!S5&amp;" € pour le mois d'octobre","Vous pouvez bénéficier, au titre de cette aide, d'un montant "&amp;ROUND(AB45,0)&amp;" € pour le mois d'octobre"),IF(AND(AB42="OUI",AB40&gt;=0.8),IF(AB45&gt;=Annexes!S5,"Dans votre cas, l'aide est Plafonnée, à "&amp;Annexes!S5&amp;" € pour le mois d'octobre","Vous pouvez bénéficier, au titre de cette aide, d'un montant "&amp;ROUND(AB45,0)&amp;"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4" s="259"/>
      <c r="F64" s="259"/>
      <c r="G64" s="259"/>
      <c r="H64" s="259"/>
      <c r="I64" s="259"/>
      <c r="J64" s="259"/>
      <c r="K64" s="259"/>
      <c r="L64" s="259"/>
      <c r="M64" s="259"/>
      <c r="N64" s="259"/>
      <c r="O64" s="260"/>
      <c r="T64" s="28"/>
      <c r="U64" s="49"/>
      <c r="V64" s="1"/>
      <c r="W64" s="1"/>
      <c r="X64" s="1"/>
      <c r="Y64" s="1"/>
      <c r="Z64" s="1"/>
      <c r="AA64" s="1"/>
      <c r="AB64" s="1"/>
      <c r="AC64" s="1"/>
      <c r="AD64" s="1"/>
      <c r="AE64" s="20"/>
    </row>
    <row r="65" spans="4:31" ht="15.75" customHeight="1">
      <c r="D65" s="261"/>
      <c r="E65" s="262"/>
      <c r="F65" s="262"/>
      <c r="G65" s="262"/>
      <c r="H65" s="262"/>
      <c r="I65" s="262"/>
      <c r="J65" s="262"/>
      <c r="K65" s="262"/>
      <c r="L65" s="262"/>
      <c r="M65" s="262"/>
      <c r="N65" s="262"/>
      <c r="O65" s="263"/>
      <c r="T65" s="21"/>
      <c r="U65" s="1"/>
      <c r="V65" s="1"/>
      <c r="W65" s="1"/>
      <c r="X65" s="1"/>
      <c r="Y65" s="1"/>
      <c r="Z65" s="1"/>
      <c r="AA65" s="1"/>
      <c r="AB65" s="1"/>
      <c r="AC65" s="1"/>
      <c r="AD65" s="1"/>
      <c r="AE65" s="20"/>
    </row>
    <row r="66" spans="4:31" ht="15.75" customHeight="1">
      <c r="D66" s="261"/>
      <c r="E66" s="262"/>
      <c r="F66" s="262"/>
      <c r="G66" s="262"/>
      <c r="H66" s="262"/>
      <c r="I66" s="262"/>
      <c r="J66" s="262"/>
      <c r="K66" s="262"/>
      <c r="L66" s="262"/>
      <c r="M66" s="262"/>
      <c r="N66" s="262"/>
      <c r="O66" s="263"/>
      <c r="T66" s="21"/>
      <c r="U66" s="1"/>
      <c r="V66" s="1"/>
      <c r="W66" s="1"/>
      <c r="X66" s="1"/>
      <c r="Y66" s="1"/>
      <c r="Z66" s="1"/>
      <c r="AA66" s="1"/>
      <c r="AB66" s="1"/>
      <c r="AC66" s="1"/>
      <c r="AD66" s="1"/>
      <c r="AE66" s="20"/>
    </row>
    <row r="67" spans="4:31" ht="15" customHeight="1" thickBot="1">
      <c r="D67" s="264"/>
      <c r="E67" s="265"/>
      <c r="F67" s="265"/>
      <c r="G67" s="265"/>
      <c r="H67" s="265"/>
      <c r="I67" s="265"/>
      <c r="J67" s="265"/>
      <c r="K67" s="265"/>
      <c r="L67" s="265"/>
      <c r="M67" s="265"/>
      <c r="N67" s="265"/>
      <c r="O67" s="266"/>
      <c r="T67" s="21"/>
      <c r="U67" s="1"/>
      <c r="V67" s="1"/>
      <c r="W67" s="1"/>
      <c r="X67" s="1"/>
      <c r="Y67" s="1"/>
      <c r="Z67" s="1"/>
      <c r="AA67" s="1"/>
      <c r="AB67" s="1"/>
      <c r="AC67" s="1"/>
      <c r="AD67" s="1"/>
      <c r="AE67" s="20"/>
    </row>
    <row r="68" spans="3:31" ht="15" customHeight="1">
      <c r="C68" s="1"/>
      <c r="D68" s="1"/>
      <c r="E68" s="1"/>
      <c r="F68" s="1"/>
      <c r="G68" s="1"/>
      <c r="H68" s="1"/>
      <c r="I68" s="1"/>
      <c r="J68" s="1"/>
      <c r="K68" s="1"/>
      <c r="L68" s="1"/>
      <c r="M68" s="1"/>
      <c r="N68" s="1"/>
      <c r="O68" s="1"/>
      <c r="T68" s="21"/>
      <c r="U68" s="1"/>
      <c r="V68" s="1"/>
      <c r="W68" s="1"/>
      <c r="X68" s="1"/>
      <c r="Y68" s="1"/>
      <c r="Z68" s="1"/>
      <c r="AA68" s="1"/>
      <c r="AB68" s="1"/>
      <c r="AC68" s="1"/>
      <c r="AD68" s="1"/>
      <c r="AE68" s="20"/>
    </row>
    <row r="69" spans="3:31" ht="15" customHeight="1">
      <c r="C69" s="156"/>
      <c r="D69" s="156"/>
      <c r="E69" s="17"/>
      <c r="F69" s="17"/>
      <c r="G69" s="17"/>
      <c r="H69" s="17"/>
      <c r="I69" s="17"/>
      <c r="J69" s="17"/>
      <c r="K69" s="17"/>
      <c r="L69" s="17"/>
      <c r="M69" s="157"/>
      <c r="N69" s="17"/>
      <c r="O69" s="17"/>
      <c r="T69" s="21"/>
      <c r="U69" s="1"/>
      <c r="V69" s="1"/>
      <c r="W69" s="1"/>
      <c r="X69" s="1"/>
      <c r="Y69" s="1"/>
      <c r="Z69" s="1"/>
      <c r="AA69" s="1"/>
      <c r="AB69" s="1"/>
      <c r="AC69" s="1"/>
      <c r="AD69" s="1"/>
      <c r="AE69" s="20"/>
    </row>
    <row r="70" spans="2:31" ht="15.75" customHeight="1">
      <c r="B70" s="5"/>
      <c r="C70" s="5"/>
      <c r="D70" s="5"/>
      <c r="P70" s="1"/>
      <c r="T70" s="21"/>
      <c r="U70" s="1"/>
      <c r="V70" s="1"/>
      <c r="W70" s="1"/>
      <c r="X70" s="1"/>
      <c r="Y70" s="1"/>
      <c r="Z70" s="1"/>
      <c r="AA70" s="1"/>
      <c r="AB70" s="1"/>
      <c r="AC70" s="1"/>
      <c r="AD70" s="1"/>
      <c r="AE70" s="20"/>
    </row>
    <row r="71" spans="2:31" ht="15" customHeight="1">
      <c r="B71" s="76"/>
      <c r="C71" s="148" t="s">
        <v>217</v>
      </c>
      <c r="D71" s="148"/>
      <c r="E71" s="78"/>
      <c r="F71" s="78"/>
      <c r="G71" s="78"/>
      <c r="H71" s="78"/>
      <c r="I71" s="78"/>
      <c r="J71" s="78"/>
      <c r="K71" s="78"/>
      <c r="L71" s="166"/>
      <c r="M71" s="78"/>
      <c r="N71" s="78"/>
      <c r="O71" s="78"/>
      <c r="P71" s="55"/>
      <c r="T71" s="21"/>
      <c r="U71" s="1"/>
      <c r="V71" s="1"/>
      <c r="W71" s="1"/>
      <c r="X71" s="1"/>
      <c r="Y71" s="1"/>
      <c r="Z71" s="1"/>
      <c r="AA71" s="1"/>
      <c r="AB71" s="1"/>
      <c r="AC71" s="1"/>
      <c r="AD71" s="1"/>
      <c r="AE71" s="20"/>
    </row>
    <row r="72" spans="2:31" ht="15" customHeight="1">
      <c r="B72" s="51"/>
      <c r="C72" s="78"/>
      <c r="D72" s="78" t="str">
        <f>"- Nombre de jours de fermetures au mois d'octobre : "&amp;IF(Annexes!M5=FALSE,0,IF(Annexes!Q5=1,0,Annexes!Q5-1))&amp;" jour(s)"</f>
        <v>- Nombre de jours de fermetures au mois d'octobre : 0 jour(s)</v>
      </c>
      <c r="E72" s="78"/>
      <c r="F72" s="78"/>
      <c r="G72" s="78"/>
      <c r="H72" s="78"/>
      <c r="I72" s="78"/>
      <c r="J72" s="78"/>
      <c r="K72" s="78"/>
      <c r="L72" s="78"/>
      <c r="M72" s="78"/>
      <c r="N72" s="78"/>
      <c r="O72" s="78"/>
      <c r="P72" s="55"/>
      <c r="Q72" s="55"/>
      <c r="R72" s="1"/>
      <c r="S72" s="1"/>
      <c r="T72" s="21"/>
      <c r="U72" s="1"/>
      <c r="V72" s="1"/>
      <c r="W72" s="1"/>
      <c r="X72" s="1"/>
      <c r="Y72" s="1"/>
      <c r="Z72" s="1"/>
      <c r="AA72" s="1"/>
      <c r="AB72" s="1"/>
      <c r="AC72" s="1"/>
      <c r="AD72" s="1"/>
      <c r="AE72" s="20"/>
    </row>
    <row r="73" spans="2:31" ht="15" customHeight="1">
      <c r="B73" s="76"/>
      <c r="C73" s="148"/>
      <c r="D73" s="148"/>
      <c r="E73" s="78" t="str">
        <f>IF(Annexes!M5=FALSE,"Vous n'avez pas coché la case Fermeture administrative de Septembre à Octobre",IF(Annexes!Q5=1,"Vous n'avez pas de jour de fermeture en Octobre",""))</f>
        <v>Vous n'avez pas coché la case Fermeture administrative de Septembre à Octobre</v>
      </c>
      <c r="F73" s="78"/>
      <c r="G73" s="78"/>
      <c r="H73" s="78"/>
      <c r="I73" s="78"/>
      <c r="J73" s="78"/>
      <c r="K73" s="78"/>
      <c r="L73" s="78"/>
      <c r="M73" s="78"/>
      <c r="N73" s="78"/>
      <c r="O73" s="78"/>
      <c r="P73" s="79"/>
      <c r="Q73" s="55"/>
      <c r="R73" s="55"/>
      <c r="S73" s="1"/>
      <c r="T73" s="33"/>
      <c r="U73" s="273" t="s">
        <v>113</v>
      </c>
      <c r="V73" s="273"/>
      <c r="W73" s="273"/>
      <c r="X73" s="1"/>
      <c r="Y73" s="170" t="s">
        <v>97</v>
      </c>
      <c r="Z73" s="170"/>
      <c r="AA73" s="170"/>
      <c r="AB73" s="170" t="s">
        <v>116</v>
      </c>
      <c r="AC73" s="170"/>
      <c r="AD73" s="170"/>
      <c r="AE73" s="34" t="s">
        <v>117</v>
      </c>
    </row>
    <row r="74" spans="2:31" ht="15" customHeight="1">
      <c r="B74" s="80"/>
      <c r="C74" s="152"/>
      <c r="D74" s="152" t="str">
        <f>_xlfn.IFERROR(IF('Mon Entreprise'!K8&gt;=Annexes!U14,"- Le CA de référence est celui de la création, soit une perte de "&amp;ROUND(AB76,0)&amp;" €"&amp;" ==&gt; "&amp;ROUND(AE76*100,0)&amp;" %",IF(AB74&gt;=AB75,"- Le CA de référence est celui d'Octobre 2019, soit une perte de "&amp;ROUND(AB74,0)&amp;" €"&amp;" ==&gt; "&amp;ROUND(AE74*100,0)&amp;" %","- Le CA de référence est celui de de l'exercice 2019, soit une perte de "&amp;ROUND(AB75,0)&amp;" €"&amp;" ==&gt; "&amp;ROUND(AE75*100,0)&amp;" %")),"")</f>
        <v>- Le CA de référence est celui d'Octobre 2019, soit une perte de 0 € ==&gt; 0 %</v>
      </c>
      <c r="E74" s="78"/>
      <c r="F74" s="78"/>
      <c r="G74" s="78"/>
      <c r="H74" s="78"/>
      <c r="I74" s="78"/>
      <c r="J74" s="78"/>
      <c r="K74" s="78"/>
      <c r="L74" s="78"/>
      <c r="M74" s="78"/>
      <c r="N74" s="78"/>
      <c r="O74" s="78"/>
      <c r="P74" s="51"/>
      <c r="Q74" s="55"/>
      <c r="R74" s="55"/>
      <c r="S74" s="1"/>
      <c r="T74" s="274" t="s">
        <v>123</v>
      </c>
      <c r="U74" s="267"/>
      <c r="V74" s="267"/>
      <c r="W74" s="267"/>
      <c r="X74" s="1"/>
      <c r="Y74" s="12">
        <f>'Mon Entreprise'!M55</f>
        <v>0</v>
      </c>
      <c r="Z74" s="29"/>
      <c r="AA74" s="30"/>
      <c r="AB74" s="12">
        <f>IF('Mon Entreprise'!I55-'Mon Entreprise'!M55&lt;0,0,'Mon Entreprise'!I55-'Mon Entreprise'!M55)</f>
        <v>0</v>
      </c>
      <c r="AC74" s="1"/>
      <c r="AD74" s="21"/>
      <c r="AE74" s="35">
        <f>_xlfn.IFERROR(1-'Mon Entreprise'!M55/'Mon Entreprise'!I55,0)</f>
        <v>0</v>
      </c>
    </row>
    <row r="75" spans="3:31" ht="15" customHeight="1" thickBot="1">
      <c r="C75" s="5"/>
      <c r="D75" s="5"/>
      <c r="Q75" s="79"/>
      <c r="R75" s="55"/>
      <c r="S75" s="1"/>
      <c r="T75" s="274" t="s">
        <v>118</v>
      </c>
      <c r="U75" s="267"/>
      <c r="V75" s="267"/>
      <c r="W75" s="267"/>
      <c r="X75" s="1"/>
      <c r="Y75" s="12">
        <f>'Mon Entreprise'!I44*(Annexes!O5-1)/360</f>
        <v>0</v>
      </c>
      <c r="Z75" s="29"/>
      <c r="AA75" s="30"/>
      <c r="AB75" s="12">
        <f>IF('Mon Entreprise'!I44*(Annexes!Q5-1)/360-'Mon Entreprise'!M55&lt;0,0,'Mon Entreprise'!I44*(Annexes!Q5-1)/360-'Mon Entreprise'!M55)</f>
        <v>0</v>
      </c>
      <c r="AC75" s="12"/>
      <c r="AD75" s="21"/>
      <c r="AE75" s="35">
        <f>_xlfn.IFERROR(1-'Mon Entreprise'!M55/('Mon Entreprise'!I44*(Annexes!Q5-1)/360),0)</f>
        <v>0</v>
      </c>
    </row>
    <row r="76" spans="2:31" ht="15" customHeight="1">
      <c r="B76" s="5"/>
      <c r="C76" s="5"/>
      <c r="D76" s="281" t="str">
        <f>_xlfn.IFERROR(IF(AB80="NON","Vous avez débuté votre activité après le 30 Septembre 2020, vous ne pouvez donc pas bénéficier de cette aide",IF(AB82="Non","Vous n'avez pas eu de fermeture administrative en octobre, vous ne pouvez donc pas bénéficier de cette aide",IF(AB83&gt;Annexes!S7*(Annexes!Q5-1),"Dans votre cas, l'aide est Plafonnée sur 333 €/jour, soit "&amp;IF(Annexes!S7*(Annexes!Q5-1)&gt;10000,10000,Annexes!S7*(Annexes!Q5-1))&amp;" €, pour le mois d'octobre","Vous pouvez bénéficier, au titre de cette aide, d'un montant "&amp;ROUND(IF(AB83&gt;10000,10000,AB83),0)&amp;" € pour le mois d'octobre"))),"Vous n'avez pas indiqué de chiffre d'affaires de référence")</f>
        <v>Vous n'avez pas eu de fermeture administrative en octobre, vous ne pouvez donc pas bénéficier de cette aide</v>
      </c>
      <c r="E76" s="282"/>
      <c r="F76" s="282"/>
      <c r="G76" s="282"/>
      <c r="H76" s="282"/>
      <c r="I76" s="282"/>
      <c r="J76" s="282"/>
      <c r="K76" s="282"/>
      <c r="L76" s="282"/>
      <c r="M76" s="282"/>
      <c r="N76" s="282"/>
      <c r="O76" s="283"/>
      <c r="Q76" s="51"/>
      <c r="R76" s="79"/>
      <c r="T76" s="274" t="s">
        <v>115</v>
      </c>
      <c r="U76" s="267"/>
      <c r="V76" s="267"/>
      <c r="W76" s="267"/>
      <c r="X76" s="1"/>
      <c r="Y76" s="26" t="str">
        <f>_xlfn.IFERROR(IF('Mon Entreprise'!K8&gt;=Annexes!U14,'Mon Entreprise'!I79,"NC"),"NC")</f>
        <v>NC</v>
      </c>
      <c r="Z76" s="31"/>
      <c r="AA76" s="30"/>
      <c r="AB76" s="48" t="str">
        <f>_xlfn.IFERROR(IF('Mon Entreprise'!K8&gt;=Annexes!U14,IF('Mon Entreprise'!I79-'Mon Entreprise'!M55&lt;0,0,'Mon Entreprise'!I79-'Mon Entreprise'!M55),"NC"),"NC")</f>
        <v>NC</v>
      </c>
      <c r="AC76" s="169"/>
      <c r="AD76" s="21"/>
      <c r="AE76" s="36" t="str">
        <f>_xlfn.IFERROR(IF('Mon Entreprise'!K8&gt;=Annexes!U14,1-'Mon Entreprise'!M55/'Mon Entreprise'!I79,"NC"),"NC")</f>
        <v>NC</v>
      </c>
    </row>
    <row r="77" spans="2:31" ht="15" customHeight="1">
      <c r="B77" s="5"/>
      <c r="C77" s="5"/>
      <c r="D77" s="284"/>
      <c r="E77" s="285"/>
      <c r="F77" s="285"/>
      <c r="G77" s="285"/>
      <c r="H77" s="285"/>
      <c r="I77" s="285"/>
      <c r="J77" s="285"/>
      <c r="K77" s="285"/>
      <c r="L77" s="285"/>
      <c r="M77" s="285"/>
      <c r="N77" s="285"/>
      <c r="O77" s="286"/>
      <c r="Q77" s="51"/>
      <c r="R77" s="79"/>
      <c r="T77" s="168"/>
      <c r="U77" s="169"/>
      <c r="V77" s="169"/>
      <c r="W77" s="169"/>
      <c r="X77" s="1"/>
      <c r="Y77" s="26"/>
      <c r="Z77" s="31"/>
      <c r="AA77" s="29"/>
      <c r="AB77" s="48"/>
      <c r="AC77" s="169"/>
      <c r="AD77" s="1"/>
      <c r="AE77" s="36"/>
    </row>
    <row r="78" spans="2:31" ht="15" customHeight="1">
      <c r="B78" s="5"/>
      <c r="C78" s="5"/>
      <c r="D78" s="284"/>
      <c r="E78" s="285"/>
      <c r="F78" s="285"/>
      <c r="G78" s="285"/>
      <c r="H78" s="285"/>
      <c r="I78" s="285"/>
      <c r="J78" s="285"/>
      <c r="K78" s="285"/>
      <c r="L78" s="285"/>
      <c r="M78" s="285"/>
      <c r="N78" s="285"/>
      <c r="O78" s="286"/>
      <c r="R78" s="51"/>
      <c r="T78" s="21"/>
      <c r="U78" s="1"/>
      <c r="V78" s="1"/>
      <c r="W78" s="1"/>
      <c r="X78" s="1"/>
      <c r="Y78" s="1"/>
      <c r="Z78" s="1"/>
      <c r="AA78" s="1"/>
      <c r="AB78" s="1"/>
      <c r="AC78" s="1"/>
      <c r="AD78" s="1"/>
      <c r="AE78" s="20"/>
    </row>
    <row r="79" spans="3:31" ht="15.75" customHeight="1" thickBot="1">
      <c r="C79" s="5"/>
      <c r="D79" s="287"/>
      <c r="E79" s="288"/>
      <c r="F79" s="288"/>
      <c r="G79" s="288"/>
      <c r="H79" s="288"/>
      <c r="I79" s="288"/>
      <c r="J79" s="288"/>
      <c r="K79" s="288"/>
      <c r="L79" s="288"/>
      <c r="M79" s="288"/>
      <c r="N79" s="288"/>
      <c r="O79" s="289"/>
      <c r="T79" s="21"/>
      <c r="U79" s="1"/>
      <c r="V79" s="1"/>
      <c r="W79" s="1"/>
      <c r="X79" s="1"/>
      <c r="Y79" s="1"/>
      <c r="Z79" s="1"/>
      <c r="AA79" s="1"/>
      <c r="AB79" s="1"/>
      <c r="AC79" s="1"/>
      <c r="AD79" s="1"/>
      <c r="AE79" s="20"/>
    </row>
    <row r="80" spans="2:31" ht="15" customHeight="1">
      <c r="B80" s="5"/>
      <c r="C80" s="5"/>
      <c r="D80" s="5"/>
      <c r="T80" s="21"/>
      <c r="U80" s="268" t="s">
        <v>231</v>
      </c>
      <c r="V80" s="268"/>
      <c r="W80" s="268"/>
      <c r="X80" s="268"/>
      <c r="Y80" s="268"/>
      <c r="Z80" s="172"/>
      <c r="AA80" s="21"/>
      <c r="AB80" s="169" t="str">
        <f>IF('Mon Entreprise'!K8&lt;=Annexes!S18,"Oui","Non")</f>
        <v>Oui</v>
      </c>
      <c r="AC80" s="1"/>
      <c r="AD80" s="1"/>
      <c r="AE80" s="20"/>
    </row>
    <row r="81" spans="1:31" ht="15" customHeight="1">
      <c r="A81" s="5"/>
      <c r="B81" s="5"/>
      <c r="C81" s="5"/>
      <c r="T81" s="21"/>
      <c r="U81" s="267" t="s">
        <v>240</v>
      </c>
      <c r="V81" s="267"/>
      <c r="W81" s="267"/>
      <c r="X81" s="267"/>
      <c r="Y81" s="267"/>
      <c r="Z81" s="169"/>
      <c r="AA81" s="21"/>
      <c r="AB81" s="169">
        <f>IF(Annexes!M5=FALSE,0,IF(Annexes!Q5=1,0,Annexes!Q5-1))</f>
        <v>0</v>
      </c>
      <c r="AC81" s="1"/>
      <c r="AD81" s="1"/>
      <c r="AE81" s="20"/>
    </row>
    <row r="82" spans="20:31" ht="15.75" customHeight="1">
      <c r="T82" s="21"/>
      <c r="U82" s="267" t="s">
        <v>241</v>
      </c>
      <c r="V82" s="267"/>
      <c r="W82" s="267"/>
      <c r="X82" s="267"/>
      <c r="Y82" s="267"/>
      <c r="Z82" s="169"/>
      <c r="AA82" s="21"/>
      <c r="AB82" s="169" t="str">
        <f>IF(Annexes!M5=FALSE,"Non",IF(Annexes!Q5=1,"Non","Oui"))</f>
        <v>Non</v>
      </c>
      <c r="AC82" s="1"/>
      <c r="AD82" s="1"/>
      <c r="AE82" s="20"/>
    </row>
    <row r="83" spans="2:31" ht="15" customHeight="1">
      <c r="B83" s="5"/>
      <c r="C83" s="5"/>
      <c r="D83" s="5"/>
      <c r="T83" s="21"/>
      <c r="U83" s="267" t="s">
        <v>242</v>
      </c>
      <c r="V83" s="267"/>
      <c r="W83" s="267"/>
      <c r="X83" s="267"/>
      <c r="Y83" s="267"/>
      <c r="Z83" s="159"/>
      <c r="AA83" s="21"/>
      <c r="AB83" s="48">
        <f>IF('Mon Entreprise'!K8&gt;=Annexes!U14,AB76,IF(AB74&gt;=AB75,AB74,AB75))</f>
        <v>0</v>
      </c>
      <c r="AC83" s="1"/>
      <c r="AD83" s="1"/>
      <c r="AE83" s="20"/>
    </row>
    <row r="84" spans="3:31" ht="16.5" thickBot="1">
      <c r="C84" s="245" t="s">
        <v>124</v>
      </c>
      <c r="D84" s="245"/>
      <c r="E84" s="245"/>
      <c r="F84" s="245"/>
      <c r="G84" s="245"/>
      <c r="H84" s="245"/>
      <c r="I84" s="81"/>
      <c r="J84" s="81"/>
      <c r="K84" s="81"/>
      <c r="L84" s="81"/>
      <c r="M84" s="81"/>
      <c r="N84" s="81"/>
      <c r="O84" s="81"/>
      <c r="P84" s="1"/>
      <c r="T84" s="22"/>
      <c r="U84" s="17"/>
      <c r="V84" s="17"/>
      <c r="W84" s="17"/>
      <c r="X84" s="17"/>
      <c r="Y84" s="17"/>
      <c r="Z84" s="17"/>
      <c r="AA84" s="17"/>
      <c r="AB84" s="17"/>
      <c r="AC84" s="17"/>
      <c r="AD84" s="17"/>
      <c r="AE84" s="4"/>
    </row>
    <row r="85" spans="2:31" ht="15.75">
      <c r="B85" s="83"/>
      <c r="C85" s="32"/>
      <c r="D85" s="32"/>
      <c r="E85" s="32"/>
      <c r="F85" s="32"/>
      <c r="G85" s="32"/>
      <c r="H85" s="32"/>
      <c r="I85" s="1"/>
      <c r="J85" s="1"/>
      <c r="K85" s="1"/>
      <c r="L85" s="1"/>
      <c r="M85" s="1"/>
      <c r="N85" s="1"/>
      <c r="O85" s="1"/>
      <c r="P85" s="1"/>
      <c r="T85" s="23"/>
      <c r="U85" s="18"/>
      <c r="V85" s="18"/>
      <c r="W85" s="18"/>
      <c r="X85" s="18"/>
      <c r="Y85" s="18"/>
      <c r="Z85" s="18"/>
      <c r="AA85" s="18"/>
      <c r="AB85" s="18"/>
      <c r="AC85" s="18"/>
      <c r="AD85" s="18"/>
      <c r="AE85" s="19"/>
    </row>
    <row r="86" spans="2:31" ht="15.75">
      <c r="B86" s="125"/>
      <c r="C86" s="298" t="s">
        <v>119</v>
      </c>
      <c r="D86" s="298"/>
      <c r="E86" s="298"/>
      <c r="F86" s="298"/>
      <c r="G86" s="298"/>
      <c r="H86" s="298"/>
      <c r="I86" s="298"/>
      <c r="J86" s="298"/>
      <c r="K86" s="298"/>
      <c r="L86" s="298"/>
      <c r="M86" s="298"/>
      <c r="N86" s="298"/>
      <c r="O86" s="298"/>
      <c r="P86" s="1"/>
      <c r="Q86" s="1"/>
      <c r="T86" s="21"/>
      <c r="U86" s="1"/>
      <c r="V86" s="1"/>
      <c r="W86" s="1"/>
      <c r="X86" s="1"/>
      <c r="Y86" s="1"/>
      <c r="Z86" s="1"/>
      <c r="AA86" s="1"/>
      <c r="AB86" s="1"/>
      <c r="AC86" s="1"/>
      <c r="AD86" s="1"/>
      <c r="AE86" s="20"/>
    </row>
    <row r="87" spans="2:31" ht="15.75">
      <c r="B87" s="125"/>
      <c r="C87" s="171"/>
      <c r="D87" s="78" t="s">
        <v>120</v>
      </c>
      <c r="E87" s="171"/>
      <c r="F87" s="171"/>
      <c r="G87" s="171"/>
      <c r="H87" s="171"/>
      <c r="I87" s="171"/>
      <c r="J87" s="171"/>
      <c r="K87" s="171"/>
      <c r="L87" s="171"/>
      <c r="M87" s="171"/>
      <c r="N87" s="171"/>
      <c r="O87" s="171"/>
      <c r="P87" s="1"/>
      <c r="Q87" s="1"/>
      <c r="T87" s="21"/>
      <c r="U87" s="1"/>
      <c r="V87" s="1"/>
      <c r="W87" s="1"/>
      <c r="X87" s="1"/>
      <c r="Y87" s="1"/>
      <c r="Z87" s="1"/>
      <c r="AA87" s="1"/>
      <c r="AB87" s="1"/>
      <c r="AC87" s="1"/>
      <c r="AD87" s="1"/>
      <c r="AE87" s="20"/>
    </row>
    <row r="88" spans="2:31" ht="15.75">
      <c r="B88" s="32"/>
      <c r="C88" s="32"/>
      <c r="D88" s="32"/>
      <c r="E88" s="32"/>
      <c r="F88" s="32"/>
      <c r="G88" s="32"/>
      <c r="H88" s="32"/>
      <c r="P88" s="1"/>
      <c r="Q88" s="1"/>
      <c r="R88" s="1"/>
      <c r="S88" s="1"/>
      <c r="T88" s="21"/>
      <c r="U88" s="1"/>
      <c r="V88" s="1"/>
      <c r="W88" s="1"/>
      <c r="X88" s="1"/>
      <c r="Y88" s="1"/>
      <c r="Z88" s="1"/>
      <c r="AA88" s="1"/>
      <c r="AB88" s="1"/>
      <c r="AC88" s="1"/>
      <c r="AD88" s="1"/>
      <c r="AE88" s="20"/>
    </row>
    <row r="89" spans="2:31" ht="15.75" hidden="1">
      <c r="B89" s="32"/>
      <c r="C89" s="32"/>
      <c r="D89" s="290" t="str">
        <f>_xlfn.IFERROR(IF(AND(AB121=0,AB122=0),"Vous ne pouvez pas bénéficier du fonds de solidarité pour le mois de Novembre 2020",IF(AB121&gt;AB122,"Votre entreprise peut bénéficier d'une aide de "&amp;AB121&amp;" €, au titre d'une perte d'au-moins 50 % de votre CA en Novembre 2020","Votre entreprise peut bénéficier d'une aide de "&amp;AB122&amp;" €, au titre d'une fermeture Administrative, ou d'une des activités mentionnées en annexe 1, ou en annexe 2 ayant une perte de CA d'au moins 80 % entre le 15/03/2020 et le 15/05/2020")),"Vous n'avez pas indiqué de chiffre d'affaires de référence")</f>
        <v>Vous ne pouvez pas bénéficier du fonds de solidarité pour le mois de Novembre 2020</v>
      </c>
      <c r="E89" s="291"/>
      <c r="F89" s="291"/>
      <c r="G89" s="291"/>
      <c r="H89" s="291"/>
      <c r="I89" s="291"/>
      <c r="J89" s="291"/>
      <c r="K89" s="291"/>
      <c r="L89" s="291"/>
      <c r="M89" s="291"/>
      <c r="N89" s="291"/>
      <c r="O89" s="292"/>
      <c r="P89" s="1"/>
      <c r="Q89" s="1"/>
      <c r="R89" s="1"/>
      <c r="S89" s="1"/>
      <c r="T89" s="21"/>
      <c r="U89" s="1"/>
      <c r="V89" s="1"/>
      <c r="W89" s="1"/>
      <c r="X89" s="1"/>
      <c r="Y89" s="1"/>
      <c r="Z89" s="1"/>
      <c r="AA89" s="1"/>
      <c r="AB89" s="1"/>
      <c r="AC89" s="1"/>
      <c r="AD89" s="1"/>
      <c r="AE89" s="20"/>
    </row>
    <row r="90" spans="2:31" ht="15.75" customHeight="1" hidden="1">
      <c r="B90" s="32"/>
      <c r="C90" s="32"/>
      <c r="D90" s="293"/>
      <c r="E90" s="250"/>
      <c r="F90" s="250"/>
      <c r="G90" s="250"/>
      <c r="H90" s="250"/>
      <c r="I90" s="250"/>
      <c r="J90" s="250"/>
      <c r="K90" s="250"/>
      <c r="L90" s="250"/>
      <c r="M90" s="250"/>
      <c r="N90" s="250"/>
      <c r="O90" s="294"/>
      <c r="P90" s="1"/>
      <c r="Q90" s="1"/>
      <c r="R90" s="1"/>
      <c r="S90" s="1"/>
      <c r="T90" s="21"/>
      <c r="U90" s="1"/>
      <c r="V90" s="1"/>
      <c r="W90" s="1"/>
      <c r="X90" s="1"/>
      <c r="Y90" s="1"/>
      <c r="Z90" s="1"/>
      <c r="AA90" s="1"/>
      <c r="AB90" s="1"/>
      <c r="AC90" s="1"/>
      <c r="AD90" s="1"/>
      <c r="AE90" s="20"/>
    </row>
    <row r="91" spans="2:31" ht="15.75" hidden="1">
      <c r="B91" s="32"/>
      <c r="C91" s="32"/>
      <c r="D91" s="293"/>
      <c r="E91" s="250"/>
      <c r="F91" s="250"/>
      <c r="G91" s="250"/>
      <c r="H91" s="250"/>
      <c r="I91" s="250"/>
      <c r="J91" s="250"/>
      <c r="K91" s="250"/>
      <c r="L91" s="250"/>
      <c r="M91" s="250"/>
      <c r="N91" s="250"/>
      <c r="O91" s="294"/>
      <c r="P91" s="1"/>
      <c r="Q91" s="1"/>
      <c r="R91" s="1"/>
      <c r="S91" s="1"/>
      <c r="T91" s="21"/>
      <c r="U91" s="1"/>
      <c r="V91" s="1"/>
      <c r="W91" s="1"/>
      <c r="X91" s="1"/>
      <c r="Y91" s="1"/>
      <c r="Z91" s="1"/>
      <c r="AA91" s="1"/>
      <c r="AB91" s="1"/>
      <c r="AC91" s="1"/>
      <c r="AD91" s="1"/>
      <c r="AE91" s="20"/>
    </row>
    <row r="92" spans="2:31" ht="15.75" hidden="1">
      <c r="B92" s="32"/>
      <c r="C92" s="32"/>
      <c r="D92" s="293"/>
      <c r="E92" s="250"/>
      <c r="F92" s="250"/>
      <c r="G92" s="250"/>
      <c r="H92" s="250"/>
      <c r="I92" s="250"/>
      <c r="J92" s="250"/>
      <c r="K92" s="250"/>
      <c r="L92" s="250"/>
      <c r="M92" s="250"/>
      <c r="N92" s="250"/>
      <c r="O92" s="294"/>
      <c r="P92" s="1"/>
      <c r="Q92" s="131"/>
      <c r="R92" s="1"/>
      <c r="S92" s="1"/>
      <c r="T92" s="21"/>
      <c r="U92" s="1"/>
      <c r="V92" s="1"/>
      <c r="W92" s="1"/>
      <c r="X92" s="1"/>
      <c r="Y92" s="1"/>
      <c r="Z92" s="1"/>
      <c r="AA92" s="1"/>
      <c r="AB92" s="1"/>
      <c r="AC92" s="1"/>
      <c r="AD92" s="1"/>
      <c r="AE92" s="20"/>
    </row>
    <row r="93" spans="2:32" ht="16.5" hidden="1" thickBot="1">
      <c r="B93" s="32"/>
      <c r="C93" s="32"/>
      <c r="D93" s="295"/>
      <c r="E93" s="296"/>
      <c r="F93" s="296"/>
      <c r="G93" s="296"/>
      <c r="H93" s="296"/>
      <c r="I93" s="296"/>
      <c r="J93" s="296"/>
      <c r="K93" s="296"/>
      <c r="L93" s="296"/>
      <c r="M93" s="296"/>
      <c r="N93" s="296"/>
      <c r="O93" s="297"/>
      <c r="P93" s="1"/>
      <c r="Q93" s="1"/>
      <c r="R93" s="131"/>
      <c r="S93" s="131"/>
      <c r="T93" s="132"/>
      <c r="U93" s="131"/>
      <c r="V93" s="131"/>
      <c r="W93" s="131"/>
      <c r="X93" s="131"/>
      <c r="Y93" s="131"/>
      <c r="Z93" s="131"/>
      <c r="AA93" s="131"/>
      <c r="AB93" s="131"/>
      <c r="AC93" s="131"/>
      <c r="AD93" s="131"/>
      <c r="AE93" s="133"/>
      <c r="AF93" s="121"/>
    </row>
    <row r="94" spans="2:31" ht="15">
      <c r="B94" s="14"/>
      <c r="C94" s="101"/>
      <c r="D94" s="101"/>
      <c r="E94" s="100"/>
      <c r="F94" s="100"/>
      <c r="G94" s="100"/>
      <c r="H94" s="100"/>
      <c r="I94" s="100"/>
      <c r="J94" s="100"/>
      <c r="K94" s="100"/>
      <c r="L94" s="100"/>
      <c r="M94" s="100"/>
      <c r="N94" s="100"/>
      <c r="O94" s="100"/>
      <c r="Q94" s="1"/>
      <c r="R94" s="1"/>
      <c r="S94" s="1"/>
      <c r="T94" s="21"/>
      <c r="U94" s="1"/>
      <c r="V94" s="1"/>
      <c r="W94" s="1"/>
      <c r="X94" s="1"/>
      <c r="Y94" s="1"/>
      <c r="Z94" s="1"/>
      <c r="AA94" s="1"/>
      <c r="AB94" s="1"/>
      <c r="AC94" s="1"/>
      <c r="AD94" s="1"/>
      <c r="AE94" s="20"/>
    </row>
    <row r="95" spans="17:31" ht="15">
      <c r="Q95" s="1"/>
      <c r="R95" s="1"/>
      <c r="S95" s="1"/>
      <c r="T95" s="21"/>
      <c r="U95" s="1"/>
      <c r="V95" s="1"/>
      <c r="W95" s="1"/>
      <c r="X95" s="1"/>
      <c r="Y95" s="1"/>
      <c r="Z95" s="1"/>
      <c r="AA95" s="1"/>
      <c r="AB95" s="1"/>
      <c r="AC95" s="1"/>
      <c r="AD95" s="1"/>
      <c r="AE95" s="20"/>
    </row>
    <row r="96" spans="3:31" ht="15">
      <c r="C96" s="78" t="s">
        <v>215</v>
      </c>
      <c r="D96" s="78"/>
      <c r="E96" s="78"/>
      <c r="F96" s="78"/>
      <c r="G96" s="78"/>
      <c r="H96" s="78"/>
      <c r="I96" s="78"/>
      <c r="J96" s="51"/>
      <c r="K96" s="51"/>
      <c r="L96" s="51"/>
      <c r="M96" s="51"/>
      <c r="N96" s="51"/>
      <c r="O96" s="51"/>
      <c r="R96" s="1"/>
      <c r="S96" s="1"/>
      <c r="T96" s="21"/>
      <c r="U96" s="1"/>
      <c r="V96" s="1"/>
      <c r="W96" s="1"/>
      <c r="X96" s="1"/>
      <c r="Y96" s="1"/>
      <c r="Z96" s="1"/>
      <c r="AA96" s="1"/>
      <c r="AB96" s="1"/>
      <c r="AC96" s="1"/>
      <c r="AD96" s="1"/>
      <c r="AE96" s="20"/>
    </row>
    <row r="97" spans="3:31" ht="15" customHeight="1">
      <c r="C97" s="78"/>
      <c r="D97" s="78" t="str">
        <f>_xlfn.IFERROR(IF('Mon Entreprise'!K8&gt;=Annexes!U14,"Le CA de référence est celui de la création, soit une perte de "&amp;ROUND(AB103,0)&amp;" €"&amp;" ==&gt; "&amp;ROUND(AE103*100,0)&amp;" %",IF(AB101&gt;=AB102,"Le CA de référence est celui de Novembre 2019, soit une perte de "&amp;ROUND(AB101,0)&amp;" €"&amp;" ==&gt; "&amp;ROUND(AE101*100,0)&amp;" %","Le CA de référence est celui de de l'exercice 2019, soit une perte de "&amp;ROUND(AB102,0)&amp;" €"&amp;" ==&gt; "&amp;ROUND(AE102*100,0)&amp;" %")),"")</f>
        <v>Le CA de référence est celui de Novembre 2019, soit une perte de 0 € ==&gt; 0 %</v>
      </c>
      <c r="E97" s="78"/>
      <c r="F97" s="78"/>
      <c r="G97" s="78"/>
      <c r="H97" s="78"/>
      <c r="I97" s="78"/>
      <c r="J97" s="51"/>
      <c r="K97" s="51"/>
      <c r="L97" s="51"/>
      <c r="M97" s="51"/>
      <c r="N97" s="51"/>
      <c r="O97" s="51"/>
      <c r="T97" s="21"/>
      <c r="U97" s="1"/>
      <c r="V97" s="1"/>
      <c r="W97" s="1"/>
      <c r="X97" s="1"/>
      <c r="Y97" s="1"/>
      <c r="Z97" s="1"/>
      <c r="AA97" s="1"/>
      <c r="AB97" s="1"/>
      <c r="AC97" s="1"/>
      <c r="AD97" s="1"/>
      <c r="AE97" s="20"/>
    </row>
    <row r="98" spans="20:31" ht="15" customHeight="1" thickBot="1">
      <c r="T98" s="21"/>
      <c r="U98" s="1"/>
      <c r="V98" s="1"/>
      <c r="W98" s="1"/>
      <c r="X98" s="1"/>
      <c r="Y98" s="1"/>
      <c r="Z98" s="1"/>
      <c r="AA98" s="1"/>
      <c r="AB98" s="1"/>
      <c r="AC98" s="1"/>
      <c r="AD98" s="1"/>
      <c r="AE98" s="20"/>
    </row>
    <row r="99" spans="4:31" ht="15" customHeight="1">
      <c r="D99" s="258" t="str">
        <f>_xlfn.IFERROR(IF(AB105="Non","Vous avez débuté votre activité après le 30 Septembre 2020, vous ne pouvez donc pas bénéficier de cette aide",IF(AB107&gt;=0.5,IF(AB106&gt;Annexes!S5,"Dans votre cas, l'aide est Plafonnée, à "&amp;Annexes!S5&amp;" € pour le mois de novembre","Vous pouvez bénéficier, au titre de cette aide, d'un montant "&amp;ROUND(AB106,0)&amp;" € pour le mois de novembre"),"L'entreprise n'a pas une perte d'au moins 50 % en novembre 2020")),"Vous n'avez pas indiqué de chiffre d'affaires de référence")</f>
        <v>L'entreprise n'a pas une perte d'au moins 50 % en novembre 2020</v>
      </c>
      <c r="E99" s="259"/>
      <c r="F99" s="259"/>
      <c r="G99" s="259"/>
      <c r="H99" s="259"/>
      <c r="I99" s="259"/>
      <c r="J99" s="259"/>
      <c r="K99" s="259"/>
      <c r="L99" s="259"/>
      <c r="M99" s="259"/>
      <c r="N99" s="259"/>
      <c r="O99" s="260"/>
      <c r="T99" s="33"/>
      <c r="U99" s="273" t="s">
        <v>113</v>
      </c>
      <c r="V99" s="273"/>
      <c r="W99" s="273"/>
      <c r="X99" s="1"/>
      <c r="Y99" s="170" t="s">
        <v>97</v>
      </c>
      <c r="Z99" s="170"/>
      <c r="AA99" s="170"/>
      <c r="AB99" s="170" t="s">
        <v>116</v>
      </c>
      <c r="AC99" s="170"/>
      <c r="AD99" s="170"/>
      <c r="AE99" s="34" t="s">
        <v>117</v>
      </c>
    </row>
    <row r="100" spans="4:31" ht="15" customHeight="1">
      <c r="D100" s="261"/>
      <c r="E100" s="262"/>
      <c r="F100" s="262"/>
      <c r="G100" s="262"/>
      <c r="H100" s="262"/>
      <c r="I100" s="262"/>
      <c r="J100" s="262"/>
      <c r="K100" s="262"/>
      <c r="L100" s="262"/>
      <c r="M100" s="262"/>
      <c r="N100" s="262"/>
      <c r="O100" s="263"/>
      <c r="T100" s="33"/>
      <c r="U100" s="170"/>
      <c r="V100" s="170"/>
      <c r="W100" s="170"/>
      <c r="X100" s="1"/>
      <c r="Y100" s="170"/>
      <c r="Z100" s="170"/>
      <c r="AA100" s="170"/>
      <c r="AB100" s="170"/>
      <c r="AC100" s="170"/>
      <c r="AD100" s="170"/>
      <c r="AE100" s="34"/>
    </row>
    <row r="101" spans="4:31" ht="15" customHeight="1">
      <c r="D101" s="261"/>
      <c r="E101" s="262"/>
      <c r="F101" s="262"/>
      <c r="G101" s="262"/>
      <c r="H101" s="262"/>
      <c r="I101" s="262"/>
      <c r="J101" s="262"/>
      <c r="K101" s="262"/>
      <c r="L101" s="262"/>
      <c r="M101" s="262"/>
      <c r="N101" s="262"/>
      <c r="O101" s="263"/>
      <c r="T101" s="274" t="s">
        <v>123</v>
      </c>
      <c r="U101" s="267"/>
      <c r="V101" s="267"/>
      <c r="W101" s="267"/>
      <c r="X101" s="1"/>
      <c r="Y101" s="12">
        <f>'Mon Entreprise'!I60</f>
        <v>0</v>
      </c>
      <c r="Z101" s="162"/>
      <c r="AA101" s="29"/>
      <c r="AB101" s="12">
        <f>IF('Mon Entreprise'!I60-'Mon Entreprise'!M60&lt;0,0,'Mon Entreprise'!I60-'Mon Entreprise'!M60)</f>
        <v>0</v>
      </c>
      <c r="AC101" s="20"/>
      <c r="AD101" s="1"/>
      <c r="AE101" s="35">
        <f>_xlfn.IFERROR(1-'Mon Entreprise'!M60/'Mon Entreprise'!I60,0)</f>
        <v>0</v>
      </c>
    </row>
    <row r="102" spans="4:31" ht="15" customHeight="1" thickBot="1">
      <c r="D102" s="264"/>
      <c r="E102" s="265"/>
      <c r="F102" s="265"/>
      <c r="G102" s="265"/>
      <c r="H102" s="265"/>
      <c r="I102" s="265"/>
      <c r="J102" s="265"/>
      <c r="K102" s="265"/>
      <c r="L102" s="265"/>
      <c r="M102" s="265"/>
      <c r="N102" s="265"/>
      <c r="O102" s="266"/>
      <c r="T102" s="274" t="s">
        <v>118</v>
      </c>
      <c r="U102" s="267"/>
      <c r="V102" s="267"/>
      <c r="W102" s="267"/>
      <c r="X102" s="1"/>
      <c r="Y102" s="12">
        <f>'Mon Entreprise'!I46</f>
        <v>0</v>
      </c>
      <c r="Z102" s="162"/>
      <c r="AA102" s="29"/>
      <c r="AB102" s="12">
        <f>IF('Mon Entreprise'!I46-'Mon Entreprise'!M60&lt;0,0,'Mon Entreprise'!I46-'Mon Entreprise'!M60)</f>
        <v>0</v>
      </c>
      <c r="AC102" s="47"/>
      <c r="AD102" s="1"/>
      <c r="AE102" s="35">
        <f>_xlfn.IFERROR(1-'Mon Entreprise'!M60/'Mon Entreprise'!I46,0)</f>
        <v>0</v>
      </c>
    </row>
    <row r="103" spans="3:31" ht="15.75" customHeight="1">
      <c r="C103" s="100"/>
      <c r="D103" s="100"/>
      <c r="E103" s="100"/>
      <c r="F103" s="100"/>
      <c r="G103" s="100"/>
      <c r="H103" s="100"/>
      <c r="I103" s="100"/>
      <c r="J103" s="100"/>
      <c r="K103" s="100"/>
      <c r="L103" s="100"/>
      <c r="M103" s="100"/>
      <c r="N103" s="100"/>
      <c r="O103" s="100"/>
      <c r="T103" s="274" t="s">
        <v>115</v>
      </c>
      <c r="U103" s="267"/>
      <c r="V103" s="267"/>
      <c r="W103" s="267"/>
      <c r="X103" s="1"/>
      <c r="Y103" s="26" t="str">
        <f>IF('Mon Entreprise'!I77="","NC",'Mon Entreprise'!I77)</f>
        <v>NC</v>
      </c>
      <c r="Z103" s="163"/>
      <c r="AA103" s="29"/>
      <c r="AB103" s="48" t="str">
        <f>_xlfn.IFERROR(IF('Mon Entreprise'!I77-'Mon Entreprise'!M60&lt;0,0,'Mon Entreprise'!I77-'Mon Entreprise'!M60),"NC")</f>
        <v>NC</v>
      </c>
      <c r="AC103" s="164"/>
      <c r="AD103" s="1"/>
      <c r="AE103" s="36" t="str">
        <f>_xlfn.IFERROR(1-'Mon Entreprise'!M60/'Mon Entreprise'!I77,"NC")</f>
        <v>NC</v>
      </c>
    </row>
    <row r="104" spans="20:31" ht="15" customHeight="1">
      <c r="T104" s="21"/>
      <c r="U104" s="1"/>
      <c r="V104" s="1"/>
      <c r="W104" s="1"/>
      <c r="X104" s="1"/>
      <c r="Y104" s="1"/>
      <c r="Z104" s="1"/>
      <c r="AA104" s="1"/>
      <c r="AB104" s="1"/>
      <c r="AC104" s="1"/>
      <c r="AD104" s="1"/>
      <c r="AE104" s="20"/>
    </row>
    <row r="105" spans="3:31" ht="15" customHeight="1">
      <c r="C105" s="271" t="s">
        <v>216</v>
      </c>
      <c r="D105" s="271"/>
      <c r="E105" s="271"/>
      <c r="F105" s="271"/>
      <c r="G105" s="271"/>
      <c r="H105" s="271"/>
      <c r="I105" s="271"/>
      <c r="J105" s="271"/>
      <c r="K105" s="271"/>
      <c r="L105" s="271"/>
      <c r="M105" s="271"/>
      <c r="N105" s="271"/>
      <c r="O105" s="271"/>
      <c r="P105" s="51"/>
      <c r="T105" s="21"/>
      <c r="U105" s="268" t="s">
        <v>231</v>
      </c>
      <c r="V105" s="268"/>
      <c r="W105" s="268"/>
      <c r="X105" s="268"/>
      <c r="Y105" s="268"/>
      <c r="Z105" s="1"/>
      <c r="AA105" s="21"/>
      <c r="AB105" s="169" t="str">
        <f>IF('Mon Entreprise'!K8&lt;=Annexes!S18,"Oui","Non")</f>
        <v>Oui</v>
      </c>
      <c r="AC105" s="1"/>
      <c r="AD105" s="1"/>
      <c r="AE105" s="20"/>
    </row>
    <row r="106" spans="3:31" ht="15.75" customHeight="1">
      <c r="C106" s="271"/>
      <c r="D106" s="271"/>
      <c r="E106" s="271"/>
      <c r="F106" s="271"/>
      <c r="G106" s="271"/>
      <c r="H106" s="271"/>
      <c r="I106" s="271"/>
      <c r="J106" s="271"/>
      <c r="K106" s="271"/>
      <c r="L106" s="271"/>
      <c r="M106" s="271"/>
      <c r="N106" s="271"/>
      <c r="O106" s="271"/>
      <c r="P106" s="51"/>
      <c r="Q106" s="51"/>
      <c r="T106" s="21"/>
      <c r="U106" s="268" t="s">
        <v>234</v>
      </c>
      <c r="V106" s="268"/>
      <c r="W106" s="268"/>
      <c r="X106" s="268"/>
      <c r="Y106" s="268"/>
      <c r="Z106" s="1"/>
      <c r="AA106" s="21"/>
      <c r="AB106" s="169">
        <f>IF('Mon Entreprise'!K8&gt;=Annexes!U14,AB103,IF(AB101&gt;=AB102,AB101,AB102))</f>
        <v>0</v>
      </c>
      <c r="AC106" s="1"/>
      <c r="AD106" s="1"/>
      <c r="AE106" s="20"/>
    </row>
    <row r="107" spans="3:31" ht="15" customHeight="1">
      <c r="C107" s="78"/>
      <c r="E107" s="271" t="str">
        <f>IF('Mon Entreprise'!K8&gt;Annexes!S18,"",IF(OR(AB113="OUI",AND(AB114="OUI",AB112&gt;=Annexes!T5),AB115=TRUE),IF(K123&gt;Annexes!S6,"",""),IF(AND(AB114="OUI",AB112&lt;Annexes!T5),"L'entreprise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07" s="271"/>
      <c r="G107" s="271"/>
      <c r="H107" s="271"/>
      <c r="I107" s="271"/>
      <c r="J107" s="271"/>
      <c r="K107" s="271"/>
      <c r="L107" s="271"/>
      <c r="M107" s="271"/>
      <c r="N107" s="271"/>
      <c r="O107" s="271"/>
      <c r="P107" s="51"/>
      <c r="Q107" s="51"/>
      <c r="T107" s="21"/>
      <c r="U107" s="268" t="s">
        <v>235</v>
      </c>
      <c r="V107" s="268"/>
      <c r="W107" s="268"/>
      <c r="X107" s="268"/>
      <c r="Y107" s="268"/>
      <c r="Z107" s="1"/>
      <c r="AA107" s="21"/>
      <c r="AB107" s="27">
        <f>IF('Mon Entreprise'!K8&gt;=Annexes!U14,AE103,IF(AB101&gt;=AB102,AE101,AE102))</f>
        <v>0</v>
      </c>
      <c r="AC107" s="1"/>
      <c r="AD107" s="1"/>
      <c r="AE107" s="20"/>
    </row>
    <row r="108" spans="3:31" ht="15" customHeight="1">
      <c r="C108" s="78"/>
      <c r="D108" s="160"/>
      <c r="E108" s="271"/>
      <c r="F108" s="271"/>
      <c r="G108" s="271"/>
      <c r="H108" s="271"/>
      <c r="I108" s="271"/>
      <c r="J108" s="271"/>
      <c r="K108" s="271"/>
      <c r="L108" s="271"/>
      <c r="M108" s="271"/>
      <c r="N108" s="271"/>
      <c r="O108" s="271"/>
      <c r="P108" s="51"/>
      <c r="Q108" s="51"/>
      <c r="T108" s="21"/>
      <c r="U108" s="267"/>
      <c r="V108" s="267"/>
      <c r="W108" s="267"/>
      <c r="X108" s="267"/>
      <c r="Y108" s="267"/>
      <c r="Z108" s="1"/>
      <c r="AA108" s="1"/>
      <c r="AB108" s="169"/>
      <c r="AC108" s="1"/>
      <c r="AD108" s="1"/>
      <c r="AE108" s="20"/>
    </row>
    <row r="109" spans="3:31" ht="15" customHeight="1">
      <c r="C109" s="78"/>
      <c r="D109" s="78" t="str">
        <f>_xlfn.IFERROR(IF('Mon Entreprise'!K8&gt;=Annexes!U14,"- Le CA de référence est celui de la création, soit une perte de "&amp;ROUND(AB103,0)&amp;" €"&amp;" ==&gt; "&amp;ROUND(AE103*100,0)&amp;" %",IF(AB101&gt;=AB102,"- Le CA de référence est celui de Novembre 2019, soit une perte de "&amp;ROUND(AB101,0)&amp;" €"&amp;" ==&gt; "&amp;ROUND(AE101*100,0)&amp;" %","- Le CA de référence est celui de de l'exercice 2019, soit une perte de "&amp;ROUND(AB102,0)&amp;" €"&amp;" ==&gt; "&amp;ROUND(AE102*100,0)&amp;" %")),"")</f>
        <v>- Le CA de référence est celui de Novembre 2019, soit une perte de 0 € ==&gt; 0 %</v>
      </c>
      <c r="E109" s="78"/>
      <c r="F109" s="78"/>
      <c r="G109" s="78"/>
      <c r="H109" s="78"/>
      <c r="I109" s="78"/>
      <c r="J109" s="78"/>
      <c r="K109" s="78"/>
      <c r="L109" s="78"/>
      <c r="M109" s="78"/>
      <c r="N109" s="78"/>
      <c r="O109" s="78"/>
      <c r="P109" s="51"/>
      <c r="Q109" s="51"/>
      <c r="R109" s="51"/>
      <c r="T109" s="21"/>
      <c r="U109" s="1"/>
      <c r="V109" s="1"/>
      <c r="W109" s="1"/>
      <c r="X109" s="1"/>
      <c r="Y109" s="1"/>
      <c r="Z109" s="1"/>
      <c r="AA109" s="1"/>
      <c r="AB109" s="169"/>
      <c r="AC109" s="1"/>
      <c r="AD109" s="1"/>
      <c r="AE109" s="20"/>
    </row>
    <row r="110" spans="3:31" ht="15" customHeight="1">
      <c r="C110" s="51"/>
      <c r="D110" s="78" t="str">
        <f>IF(OR(AB113="OUI",AB115=TRUE),"- Sans ticket modérateur",IF(AND(AB114="OUI",AB112&gt;=0.8),"- Le CA de référence est plafonné à 80 %, il est donc de "&amp;ROUND(AB117*0.8,0)&amp;" €","- Sans ticket modérateur"))</f>
        <v>- Sans ticket modérateur</v>
      </c>
      <c r="E110" s="51"/>
      <c r="F110" s="51"/>
      <c r="G110" s="51"/>
      <c r="H110" s="51"/>
      <c r="I110" s="51"/>
      <c r="J110" s="51"/>
      <c r="K110" s="51"/>
      <c r="M110" s="51"/>
      <c r="N110" s="51"/>
      <c r="O110" s="51"/>
      <c r="P110" s="51"/>
      <c r="Q110" s="51"/>
      <c r="R110" s="51"/>
      <c r="T110" s="21"/>
      <c r="U110" s="1"/>
      <c r="V110" s="1"/>
      <c r="W110" s="1"/>
      <c r="X110" s="1"/>
      <c r="Y110" s="1"/>
      <c r="Z110" s="1"/>
      <c r="AA110" s="1"/>
      <c r="AB110" s="169"/>
      <c r="AC110" s="1"/>
      <c r="AD110" s="1"/>
      <c r="AE110" s="20"/>
    </row>
    <row r="111" spans="17:31" ht="15" customHeight="1" thickBot="1">
      <c r="Q111" s="51"/>
      <c r="R111" s="51"/>
      <c r="T111" s="21"/>
      <c r="U111" s="1"/>
      <c r="V111" s="1"/>
      <c r="W111" s="1"/>
      <c r="X111" s="1"/>
      <c r="Y111" s="1"/>
      <c r="Z111" s="1"/>
      <c r="AA111" s="1"/>
      <c r="AB111" s="169"/>
      <c r="AC111" s="1"/>
      <c r="AD111" s="1"/>
      <c r="AE111" s="20"/>
    </row>
    <row r="112" spans="4:31" ht="15" customHeight="1">
      <c r="D112" s="258" t="str">
        <f>_xlfn.IFERROR(IF('Mon Entreprise'!K8&gt;Annexes!S18,"Vous avez débuté votre activité après le 30 Septembre 2020, vous ne pouvez donc pas bénéficier de cette aide",IF(AB118&gt;=0.5,IF(OR(AB113="OUI",AND(AB114="OUI",AB112&gt;=Annexes!T5),AB115=TRUE),IF(AB117*AB119&gt;Annexes!S6,"Dans votre cas, l'aide est Plafonnée, à "&amp;Annexes!S6&amp;" € pour le mois de Novembre","Vous pouvez bénéficier, au titre de cette aide, d'un montant "&amp;ROUND(AB117*AB119,0)&amp;" € pour le mois de novembre"),IF(AND(AB114="OUI",AB112&lt;Annexes!T5),"L'entreprise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2" s="259"/>
      <c r="F112" s="259"/>
      <c r="G112" s="259"/>
      <c r="H112" s="259"/>
      <c r="I112" s="259"/>
      <c r="J112" s="259"/>
      <c r="K112" s="259"/>
      <c r="L112" s="259"/>
      <c r="M112" s="259"/>
      <c r="N112" s="259"/>
      <c r="O112" s="260"/>
      <c r="Q112" s="51"/>
      <c r="R112" s="51"/>
      <c r="T112" s="279" t="s">
        <v>94</v>
      </c>
      <c r="U112" s="280"/>
      <c r="V112" s="280"/>
      <c r="W112" s="280"/>
      <c r="X112" s="280"/>
      <c r="Y112" s="280"/>
      <c r="Z112" s="1"/>
      <c r="AA112" s="21"/>
      <c r="AB112" s="161">
        <f>_xlfn.IFERROR(IF('Mon Entreprise'!K8&lt;Annexes!U19,IF(1-'Mon Entreprise'!M62/'Mon Entreprise'!I62&gt;=1-'Mon Entreprise'!M62/('Mon Entreprise'!I46*2),1-'Mon Entreprise'!M62/'Mon Entreprise'!I62,1-'Mon Entreprise'!M62/('Mon Entreprise'!I46*2)),1-'Mon Entreprise'!M62/'Mon Entreprise'!I70),0)</f>
        <v>0</v>
      </c>
      <c r="AC112" s="1"/>
      <c r="AD112" s="1"/>
      <c r="AE112" s="20"/>
    </row>
    <row r="113" spans="4:31" ht="15" customHeight="1">
      <c r="D113" s="261"/>
      <c r="E113" s="262"/>
      <c r="F113" s="262"/>
      <c r="G113" s="262"/>
      <c r="H113" s="262"/>
      <c r="I113" s="262"/>
      <c r="J113" s="262"/>
      <c r="K113" s="262"/>
      <c r="L113" s="262"/>
      <c r="M113" s="262"/>
      <c r="N113" s="262"/>
      <c r="O113" s="263"/>
      <c r="Q113" s="51"/>
      <c r="R113" s="51"/>
      <c r="T113" s="21"/>
      <c r="U113" s="280" t="s">
        <v>99</v>
      </c>
      <c r="V113" s="280"/>
      <c r="W113" s="280"/>
      <c r="X113" s="280"/>
      <c r="Y113" s="280"/>
      <c r="Z113" s="1"/>
      <c r="AA113" s="21"/>
      <c r="AB113" s="27" t="str">
        <f>IF((AND(Annexes!F5&gt;1,Annexes!F5&lt;61)),"OUI","NON")</f>
        <v>NON</v>
      </c>
      <c r="AC113" s="1"/>
      <c r="AD113" s="1"/>
      <c r="AE113" s="20"/>
    </row>
    <row r="114" spans="4:31" ht="15" customHeight="1">
      <c r="D114" s="261"/>
      <c r="E114" s="262"/>
      <c r="F114" s="262"/>
      <c r="G114" s="262"/>
      <c r="H114" s="262"/>
      <c r="I114" s="262"/>
      <c r="J114" s="262"/>
      <c r="K114" s="262"/>
      <c r="L114" s="262"/>
      <c r="M114" s="262"/>
      <c r="N114" s="262"/>
      <c r="O114" s="263"/>
      <c r="Q114" s="51"/>
      <c r="R114" s="51"/>
      <c r="T114" s="21"/>
      <c r="U114" s="267" t="s">
        <v>100</v>
      </c>
      <c r="V114" s="267"/>
      <c r="W114" s="267"/>
      <c r="X114" s="267"/>
      <c r="Y114" s="267"/>
      <c r="Z114" s="1"/>
      <c r="AA114" s="21"/>
      <c r="AB114" s="27" t="str">
        <f>IF((AND(Annexes!F7&gt;1,Annexes!F7&lt;87)),"OUI","NON")</f>
        <v>NON</v>
      </c>
      <c r="AC114" s="1"/>
      <c r="AD114" s="1"/>
      <c r="AE114" s="20"/>
    </row>
    <row r="115" spans="4:31" ht="15" customHeight="1" thickBot="1">
      <c r="D115" s="264"/>
      <c r="E115" s="265"/>
      <c r="F115" s="265"/>
      <c r="G115" s="265"/>
      <c r="H115" s="265"/>
      <c r="I115" s="265"/>
      <c r="J115" s="265"/>
      <c r="K115" s="265"/>
      <c r="L115" s="265"/>
      <c r="M115" s="265"/>
      <c r="N115" s="265"/>
      <c r="O115" s="266"/>
      <c r="R115" s="51"/>
      <c r="T115" s="21"/>
      <c r="U115" s="267" t="s">
        <v>103</v>
      </c>
      <c r="V115" s="267"/>
      <c r="W115" s="267"/>
      <c r="X115" s="267"/>
      <c r="Y115" s="267"/>
      <c r="Z115" s="1"/>
      <c r="AA115" s="21"/>
      <c r="AB115" s="27" t="b">
        <f>Annexes!M7</f>
        <v>0</v>
      </c>
      <c r="AC115" s="1"/>
      <c r="AD115" s="1"/>
      <c r="AE115" s="20"/>
    </row>
    <row r="116" spans="18:31" ht="15" customHeight="1">
      <c r="R116" s="51"/>
      <c r="T116" s="21"/>
      <c r="U116" s="268" t="s">
        <v>231</v>
      </c>
      <c r="V116" s="268"/>
      <c r="W116" s="268"/>
      <c r="X116" s="268"/>
      <c r="Y116" s="268"/>
      <c r="Z116" s="1"/>
      <c r="AA116" s="21"/>
      <c r="AB116" s="169" t="str">
        <f>IF('Mon Entreprise'!K8&lt;=Annexes!S18,"Oui","Non")</f>
        <v>Oui</v>
      </c>
      <c r="AC116" s="1"/>
      <c r="AD116" s="1"/>
      <c r="AE116" s="20"/>
    </row>
    <row r="117" spans="13:31" ht="15.75" customHeight="1">
      <c r="M117" s="3"/>
      <c r="T117" s="21"/>
      <c r="U117" s="268" t="s">
        <v>234</v>
      </c>
      <c r="V117" s="268"/>
      <c r="W117" s="268"/>
      <c r="X117" s="268"/>
      <c r="Y117" s="268"/>
      <c r="Z117" s="1"/>
      <c r="AA117" s="21"/>
      <c r="AB117" s="169">
        <f>IF('Mon Entreprise'!K8&gt;=Annexes!U14,AB103,IF(AB101&gt;=AB102,AB101,AB102))</f>
        <v>0</v>
      </c>
      <c r="AC117" s="1"/>
      <c r="AD117" s="1"/>
      <c r="AE117" s="20"/>
    </row>
    <row r="118" spans="13:31" ht="15" customHeight="1">
      <c r="M118" s="3"/>
      <c r="T118" s="21"/>
      <c r="U118" s="268" t="s">
        <v>235</v>
      </c>
      <c r="V118" s="268"/>
      <c r="W118" s="268"/>
      <c r="X118" s="268"/>
      <c r="Y118" s="268"/>
      <c r="Z118" s="1"/>
      <c r="AA118" s="21"/>
      <c r="AB118" s="27">
        <f>IF('Mon Entreprise'!K8&gt;=Annexes!U14,AE103,IF(AB101&gt;=AB102,AE101,AE102))</f>
        <v>0</v>
      </c>
      <c r="AC118" s="1"/>
      <c r="AD118" s="1"/>
      <c r="AE118" s="20"/>
    </row>
    <row r="119" spans="2:31" ht="15" customHeight="1">
      <c r="B119" s="235" t="s">
        <v>226</v>
      </c>
      <c r="C119" s="235"/>
      <c r="D119" s="235"/>
      <c r="E119" s="235"/>
      <c r="F119" s="235"/>
      <c r="G119" s="235"/>
      <c r="H119" s="235"/>
      <c r="I119" s="235"/>
      <c r="J119" s="235"/>
      <c r="K119" s="235"/>
      <c r="L119" s="235"/>
      <c r="M119" s="235"/>
      <c r="N119" s="235"/>
      <c r="O119" s="235"/>
      <c r="T119" s="21"/>
      <c r="U119" s="267" t="s">
        <v>233</v>
      </c>
      <c r="V119" s="267"/>
      <c r="W119" s="267"/>
      <c r="X119" s="267"/>
      <c r="Y119" s="267"/>
      <c r="Z119" s="1"/>
      <c r="AA119" s="1"/>
      <c r="AB119" s="73">
        <f>IF(OR(AB113="OUI",AB115=TRUE),1,IF(AND(AB114="OUI",AB112&gt;=0.8),0.8,1))</f>
        <v>1</v>
      </c>
      <c r="AC119" s="1"/>
      <c r="AD119" s="1"/>
      <c r="AE119" s="20"/>
    </row>
    <row r="120" spans="13:31" ht="15.75" customHeight="1">
      <c r="M120" s="3"/>
      <c r="O120" s="1"/>
      <c r="P120" s="1"/>
      <c r="T120" s="21"/>
      <c r="U120" s="1"/>
      <c r="V120" s="1"/>
      <c r="W120" s="1"/>
      <c r="X120" s="1"/>
      <c r="Y120" s="1"/>
      <c r="Z120" s="1"/>
      <c r="AA120" s="1"/>
      <c r="AB120" s="169"/>
      <c r="AC120" s="1"/>
      <c r="AD120" s="1"/>
      <c r="AE120" s="20"/>
    </row>
    <row r="121" spans="15:31" ht="15">
      <c r="O121" s="1"/>
      <c r="P121" s="1"/>
      <c r="T121" s="21"/>
      <c r="U121" s="267" t="s">
        <v>244</v>
      </c>
      <c r="V121" s="267"/>
      <c r="W121" s="267"/>
      <c r="X121" s="267"/>
      <c r="Y121" s="267"/>
      <c r="Z121" s="1"/>
      <c r="AA121" s="21"/>
      <c r="AB121" s="169">
        <f>IF(AB105="Non",0,IF(AB107&gt;=0.5,IF(AB106&gt;Annexes!S5,Annexes!S5,ROUND(AB106,0)),0))</f>
        <v>0</v>
      </c>
      <c r="AC121" s="1"/>
      <c r="AD121" s="1"/>
      <c r="AE121" s="20"/>
    </row>
    <row r="122" spans="2:31" ht="15">
      <c r="B122" s="5"/>
      <c r="C122" s="5"/>
      <c r="D122" s="5"/>
      <c r="K122" s="9"/>
      <c r="O122" s="1"/>
      <c r="P122" s="1"/>
      <c r="T122" s="21"/>
      <c r="U122" s="267" t="s">
        <v>243</v>
      </c>
      <c r="V122" s="267"/>
      <c r="W122" s="267"/>
      <c r="X122" s="267"/>
      <c r="Y122" s="267"/>
      <c r="Z122" s="1"/>
      <c r="AA122" s="21"/>
      <c r="AB122" s="169">
        <f>_xlfn.IFERROR(IF('Mon Entreprise'!K8&gt;Annexes!S18,0,IF(AB118&gt;=0.5,IF(OR(AB113="OUI",AND(AB114="OUI",AB112&gt;=Annexes!T5),AB115=TRUE),IF(AB117*AB119&gt;Annexes!S6,Annexes!S6,ROUND(AB117*AB119,0)),IF(AND(AB114="OUI",AB112&lt;Annexes!T5),0,0)),0)),0)</f>
        <v>0</v>
      </c>
      <c r="AC122" s="1"/>
      <c r="AD122" s="1"/>
      <c r="AE122" s="20"/>
    </row>
    <row r="123" spans="2:31" ht="15">
      <c r="B123" s="6"/>
      <c r="C123" s="6"/>
      <c r="D123" s="6"/>
      <c r="O123" s="1"/>
      <c r="P123" s="1"/>
      <c r="Q123" s="1"/>
      <c r="T123" s="21"/>
      <c r="U123" s="1"/>
      <c r="V123" s="1"/>
      <c r="W123" s="1"/>
      <c r="X123" s="1"/>
      <c r="Y123" s="1"/>
      <c r="Z123" s="1"/>
      <c r="AA123" s="1"/>
      <c r="AB123" s="169"/>
      <c r="AC123" s="1"/>
      <c r="AD123" s="1"/>
      <c r="AE123" s="20"/>
    </row>
    <row r="124" spans="2:31" ht="15">
      <c r="B124" s="5"/>
      <c r="C124" s="5"/>
      <c r="D124" s="5"/>
      <c r="O124" s="1"/>
      <c r="P124" s="1"/>
      <c r="Q124" s="1"/>
      <c r="T124" s="22"/>
      <c r="U124" s="17"/>
      <c r="V124" s="17"/>
      <c r="W124" s="17"/>
      <c r="X124" s="17"/>
      <c r="Y124" s="17"/>
      <c r="Z124" s="17"/>
      <c r="AA124" s="17"/>
      <c r="AB124" s="17"/>
      <c r="AC124" s="17"/>
      <c r="AD124" s="17"/>
      <c r="AE124" s="4"/>
    </row>
    <row r="125" spans="17:22" ht="15">
      <c r="Q125" s="1"/>
      <c r="R125" s="1"/>
      <c r="S125" s="1"/>
      <c r="T125" s="1"/>
      <c r="U125" s="1"/>
      <c r="V125" s="1"/>
    </row>
    <row r="126" spans="2:22" ht="15">
      <c r="B126" s="5"/>
      <c r="C126" s="5"/>
      <c r="D126" s="5"/>
      <c r="Q126" s="1"/>
      <c r="R126" s="1"/>
      <c r="S126" s="1"/>
      <c r="T126" s="1"/>
      <c r="U126" s="1"/>
      <c r="V126" s="1"/>
    </row>
    <row r="127" spans="2:22" ht="15">
      <c r="B127" s="5"/>
      <c r="C127" s="5"/>
      <c r="D127" s="5"/>
      <c r="Q127" s="1"/>
      <c r="R127" s="1"/>
      <c r="S127" s="1"/>
      <c r="T127" s="1"/>
      <c r="U127" s="1"/>
      <c r="V127" s="1"/>
    </row>
    <row r="128" spans="18:22" ht="15">
      <c r="R128" s="1"/>
      <c r="S128" s="1"/>
      <c r="T128" s="1"/>
      <c r="U128" s="1"/>
      <c r="V128" s="1"/>
    </row>
    <row r="129" spans="18:20" ht="15">
      <c r="R129" s="1"/>
      <c r="S129" s="1"/>
      <c r="T129" s="1"/>
    </row>
  </sheetData>
  <sheetProtection algorithmName="SHA-512" hashValue="/++09Ac7qY4nejGNZGgQePNf3117q5HRsmioTaca2xm5A024hjAp0TwbqTxvA21/lTnoEoMMEtulNTCTAH3kQw==" saltValue="d7FDkVXbHlQkZrNlXpWRDQ==" spinCount="100000" sheet="1" selectLockedCells="1" selectUnlockedCells="1"/>
  <mergeCells count="75">
    <mergeCell ref="U121:Y121"/>
    <mergeCell ref="U122:Y122"/>
    <mergeCell ref="U116:Y116"/>
    <mergeCell ref="U117:Y117"/>
    <mergeCell ref="U118:Y118"/>
    <mergeCell ref="C84:H84"/>
    <mergeCell ref="B119:O119"/>
    <mergeCell ref="U119:Y119"/>
    <mergeCell ref="U107:Y107"/>
    <mergeCell ref="U108:Y108"/>
    <mergeCell ref="D112:O115"/>
    <mergeCell ref="T112:Y112"/>
    <mergeCell ref="U113:Y113"/>
    <mergeCell ref="U114:Y114"/>
    <mergeCell ref="U115:Y115"/>
    <mergeCell ref="E107:O108"/>
    <mergeCell ref="U45:Y45"/>
    <mergeCell ref="U46:Y46"/>
    <mergeCell ref="U47:Y47"/>
    <mergeCell ref="D46:O47"/>
    <mergeCell ref="T74:W74"/>
    <mergeCell ref="U41:Y41"/>
    <mergeCell ref="U42:Y42"/>
    <mergeCell ref="U43:Y43"/>
    <mergeCell ref="C43:O44"/>
    <mergeCell ref="U44:Y44"/>
    <mergeCell ref="T36:W36"/>
    <mergeCell ref="T37:W37"/>
    <mergeCell ref="C31:H31"/>
    <mergeCell ref="U34:W34"/>
    <mergeCell ref="D36:O40"/>
    <mergeCell ref="T38:W38"/>
    <mergeCell ref="T40:Y40"/>
    <mergeCell ref="T20:W20"/>
    <mergeCell ref="T21:W21"/>
    <mergeCell ref="U24:Y24"/>
    <mergeCell ref="U25:Y25"/>
    <mergeCell ref="D24:O27"/>
    <mergeCell ref="U26:Y26"/>
    <mergeCell ref="T13:AE15"/>
    <mergeCell ref="C15:H15"/>
    <mergeCell ref="C18:I18"/>
    <mergeCell ref="U18:W18"/>
    <mergeCell ref="T19:W19"/>
    <mergeCell ref="F3:O6"/>
    <mergeCell ref="B8:O8"/>
    <mergeCell ref="B9:O10"/>
    <mergeCell ref="B11:O11"/>
    <mergeCell ref="B13:O13"/>
    <mergeCell ref="C105:O106"/>
    <mergeCell ref="T101:W101"/>
    <mergeCell ref="T103:W103"/>
    <mergeCell ref="U105:Y105"/>
    <mergeCell ref="U106:Y106"/>
    <mergeCell ref="U48:Y48"/>
    <mergeCell ref="D50:O53"/>
    <mergeCell ref="U56:Y56"/>
    <mergeCell ref="C57:O58"/>
    <mergeCell ref="D59:O60"/>
    <mergeCell ref="U54:Y54"/>
    <mergeCell ref="U55:Y55"/>
    <mergeCell ref="D64:O67"/>
    <mergeCell ref="U73:W73"/>
    <mergeCell ref="D76:O79"/>
    <mergeCell ref="T76:W76"/>
    <mergeCell ref="U83:Y83"/>
    <mergeCell ref="T75:W75"/>
    <mergeCell ref="U80:Y80"/>
    <mergeCell ref="U81:Y81"/>
    <mergeCell ref="U82:Y82"/>
    <mergeCell ref="C86:O86"/>
    <mergeCell ref="D89:O93"/>
    <mergeCell ref="D99:O102"/>
    <mergeCell ref="U99:W99"/>
    <mergeCell ref="T102:W102"/>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89"/>
  <sheetViews>
    <sheetView workbookViewId="0" topLeftCell="A1">
      <selection activeCell="Q5" sqref="Q5"/>
    </sheetView>
  </sheetViews>
  <sheetFormatPr defaultColWidth="11.421875" defaultRowHeight="15" customHeight="1"/>
  <cols>
    <col min="1" max="2" width="11.421875" style="0" customWidth="1"/>
    <col min="4" max="4" width="11.421875" style="0" customWidth="1"/>
  </cols>
  <sheetData>
    <row r="2" ht="15" customHeight="1">
      <c r="I2" t="s">
        <v>104</v>
      </c>
    </row>
    <row r="3" spans="2:10" ht="15" customHeight="1">
      <c r="B3" t="s">
        <v>0</v>
      </c>
      <c r="D3" t="s">
        <v>49</v>
      </c>
      <c r="I3" t="s">
        <v>101</v>
      </c>
      <c r="J3" t="s">
        <v>102</v>
      </c>
    </row>
    <row r="4" spans="2:19" ht="15" customHeight="1">
      <c r="B4" t="s">
        <v>190</v>
      </c>
      <c r="C4" t="s">
        <v>98</v>
      </c>
      <c r="D4" t="s">
        <v>191</v>
      </c>
      <c r="E4" t="s">
        <v>98</v>
      </c>
      <c r="I4">
        <v>0</v>
      </c>
      <c r="J4">
        <v>0</v>
      </c>
      <c r="O4" t="s">
        <v>92</v>
      </c>
      <c r="Q4" t="s">
        <v>93</v>
      </c>
      <c r="S4" t="s">
        <v>96</v>
      </c>
    </row>
    <row r="5" spans="2:20" ht="15" customHeight="1">
      <c r="B5" s="40" t="s">
        <v>1</v>
      </c>
      <c r="C5" t="s">
        <v>98</v>
      </c>
      <c r="D5" s="44" t="s">
        <v>50</v>
      </c>
      <c r="E5" t="s">
        <v>98</v>
      </c>
      <c r="F5">
        <v>1</v>
      </c>
      <c r="G5" t="s">
        <v>132</v>
      </c>
      <c r="I5">
        <v>1</v>
      </c>
      <c r="J5">
        <v>1</v>
      </c>
      <c r="M5" t="b">
        <v>0</v>
      </c>
      <c r="O5">
        <v>1</v>
      </c>
      <c r="Q5">
        <v>1</v>
      </c>
      <c r="S5">
        <v>1500</v>
      </c>
      <c r="T5">
        <v>0.8</v>
      </c>
    </row>
    <row r="6" spans="2:20" ht="15" customHeight="1">
      <c r="B6" s="40" t="s">
        <v>2</v>
      </c>
      <c r="C6" t="s">
        <v>98</v>
      </c>
      <c r="D6" s="44" t="s">
        <v>51</v>
      </c>
      <c r="E6" t="s">
        <v>98</v>
      </c>
      <c r="I6">
        <v>2</v>
      </c>
      <c r="J6">
        <v>2</v>
      </c>
      <c r="S6">
        <v>10000</v>
      </c>
      <c r="T6">
        <v>0.6</v>
      </c>
    </row>
    <row r="7" spans="2:19" ht="15" customHeight="1">
      <c r="B7" s="40" t="s">
        <v>3</v>
      </c>
      <c r="C7" t="s">
        <v>98</v>
      </c>
      <c r="D7" s="44" t="s">
        <v>52</v>
      </c>
      <c r="E7" t="s">
        <v>98</v>
      </c>
      <c r="F7">
        <v>1</v>
      </c>
      <c r="G7" t="s">
        <v>133</v>
      </c>
      <c r="I7">
        <v>3</v>
      </c>
      <c r="J7">
        <v>3</v>
      </c>
      <c r="M7" t="b">
        <v>0</v>
      </c>
      <c r="S7">
        <v>333</v>
      </c>
    </row>
    <row r="8" spans="2:10" ht="15" customHeight="1">
      <c r="B8" s="40" t="s">
        <v>4</v>
      </c>
      <c r="C8" t="s">
        <v>98</v>
      </c>
      <c r="D8" s="44" t="s">
        <v>53</v>
      </c>
      <c r="E8" t="s">
        <v>98</v>
      </c>
      <c r="I8">
        <v>4</v>
      </c>
      <c r="J8">
        <v>4</v>
      </c>
    </row>
    <row r="9" spans="2:13" ht="15" customHeight="1">
      <c r="B9" s="40" t="s">
        <v>5</v>
      </c>
      <c r="C9" t="s">
        <v>98</v>
      </c>
      <c r="D9" s="44" t="s">
        <v>54</v>
      </c>
      <c r="E9" t="s">
        <v>98</v>
      </c>
      <c r="I9">
        <v>5</v>
      </c>
      <c r="J9">
        <v>5</v>
      </c>
      <c r="M9" t="b">
        <v>0</v>
      </c>
    </row>
    <row r="10" spans="2:10" ht="15" customHeight="1">
      <c r="B10" s="40" t="s">
        <v>6</v>
      </c>
      <c r="C10" t="s">
        <v>98</v>
      </c>
      <c r="D10" s="44" t="s">
        <v>55</v>
      </c>
      <c r="E10" t="s">
        <v>98</v>
      </c>
      <c r="I10">
        <v>6</v>
      </c>
      <c r="J10">
        <v>6</v>
      </c>
    </row>
    <row r="11" spans="2:19" ht="15" customHeight="1">
      <c r="B11" s="40" t="s">
        <v>7</v>
      </c>
      <c r="C11" t="s">
        <v>98</v>
      </c>
      <c r="D11" s="44" t="s">
        <v>56</v>
      </c>
      <c r="E11" t="s">
        <v>98</v>
      </c>
      <c r="J11">
        <v>7</v>
      </c>
      <c r="S11" s="2">
        <v>43900</v>
      </c>
    </row>
    <row r="12" spans="2:19" ht="15" customHeight="1">
      <c r="B12" s="40" t="s">
        <v>8</v>
      </c>
      <c r="C12" t="s">
        <v>98</v>
      </c>
      <c r="D12" s="44" t="s">
        <v>57</v>
      </c>
      <c r="E12" t="s">
        <v>98</v>
      </c>
      <c r="J12">
        <v>8</v>
      </c>
      <c r="S12" s="2"/>
    </row>
    <row r="13" spans="2:19" ht="15" customHeight="1">
      <c r="B13" s="40" t="s">
        <v>9</v>
      </c>
      <c r="C13" t="s">
        <v>98</v>
      </c>
      <c r="D13" s="44" t="s">
        <v>58</v>
      </c>
      <c r="E13" t="s">
        <v>98</v>
      </c>
      <c r="J13">
        <v>9</v>
      </c>
      <c r="S13" s="2" t="s">
        <v>95</v>
      </c>
    </row>
    <row r="14" spans="2:21" ht="15" customHeight="1">
      <c r="B14" s="40" t="s">
        <v>10</v>
      </c>
      <c r="C14" t="s">
        <v>98</v>
      </c>
      <c r="D14" s="44" t="s">
        <v>59</v>
      </c>
      <c r="E14" t="s">
        <v>98</v>
      </c>
      <c r="J14">
        <v>10</v>
      </c>
      <c r="S14" s="2">
        <v>43890</v>
      </c>
      <c r="U14" s="2">
        <v>43617</v>
      </c>
    </row>
    <row r="15" spans="2:21" ht="15" customHeight="1">
      <c r="B15" s="41" t="s">
        <v>11</v>
      </c>
      <c r="C15" t="s">
        <v>98</v>
      </c>
      <c r="D15" s="44" t="s">
        <v>60</v>
      </c>
      <c r="E15" t="s">
        <v>98</v>
      </c>
      <c r="J15">
        <v>11</v>
      </c>
      <c r="S15" s="2">
        <v>43862</v>
      </c>
      <c r="U15" s="2">
        <v>43900</v>
      </c>
    </row>
    <row r="16" spans="2:21" ht="15" customHeight="1">
      <c r="B16" s="40" t="s">
        <v>12</v>
      </c>
      <c r="C16" t="s">
        <v>98</v>
      </c>
      <c r="D16" s="44" t="s">
        <v>61</v>
      </c>
      <c r="E16" t="s">
        <v>98</v>
      </c>
      <c r="J16">
        <v>12</v>
      </c>
      <c r="S16" s="2">
        <v>43891</v>
      </c>
      <c r="U16" s="2">
        <v>44013</v>
      </c>
    </row>
    <row r="17" spans="2:21" ht="15" customHeight="1">
      <c r="B17" s="40" t="s">
        <v>13</v>
      </c>
      <c r="C17" t="s">
        <v>98</v>
      </c>
      <c r="D17" s="44" t="s">
        <v>62</v>
      </c>
      <c r="E17" t="s">
        <v>98</v>
      </c>
      <c r="J17">
        <v>13</v>
      </c>
      <c r="S17" s="2">
        <v>43466</v>
      </c>
      <c r="U17" s="2">
        <v>43830</v>
      </c>
    </row>
    <row r="18" spans="2:21" ht="15" customHeight="1">
      <c r="B18" s="42" t="s">
        <v>134</v>
      </c>
      <c r="C18" t="s">
        <v>98</v>
      </c>
      <c r="D18" s="44" t="s">
        <v>63</v>
      </c>
      <c r="E18" t="s">
        <v>98</v>
      </c>
      <c r="J18">
        <v>14</v>
      </c>
      <c r="S18" s="2">
        <v>44104</v>
      </c>
      <c r="U18" s="2">
        <v>44074</v>
      </c>
    </row>
    <row r="19" spans="2:21" ht="15" customHeight="1">
      <c r="B19" s="40" t="s">
        <v>14</v>
      </c>
      <c r="C19" t="s">
        <v>98</v>
      </c>
      <c r="D19" s="44" t="s">
        <v>64</v>
      </c>
      <c r="E19" t="s">
        <v>98</v>
      </c>
      <c r="J19">
        <v>15</v>
      </c>
      <c r="S19" s="2">
        <v>43905</v>
      </c>
      <c r="U19" s="2">
        <v>43539</v>
      </c>
    </row>
    <row r="20" spans="2:10" ht="15" customHeight="1">
      <c r="B20" s="40" t="s">
        <v>15</v>
      </c>
      <c r="C20" t="s">
        <v>98</v>
      </c>
      <c r="D20" s="44" t="s">
        <v>65</v>
      </c>
      <c r="E20" t="s">
        <v>98</v>
      </c>
      <c r="J20">
        <v>16</v>
      </c>
    </row>
    <row r="21" spans="2:10" ht="15" customHeight="1">
      <c r="B21" s="40" t="s">
        <v>16</v>
      </c>
      <c r="C21" t="s">
        <v>98</v>
      </c>
      <c r="D21" s="44" t="s">
        <v>66</v>
      </c>
      <c r="E21" t="s">
        <v>98</v>
      </c>
      <c r="J21">
        <v>17</v>
      </c>
    </row>
    <row r="22" spans="2:10" ht="15" customHeight="1">
      <c r="B22" s="40" t="s">
        <v>17</v>
      </c>
      <c r="C22" t="s">
        <v>98</v>
      </c>
      <c r="D22" s="45" t="s">
        <v>67</v>
      </c>
      <c r="E22" t="s">
        <v>98</v>
      </c>
      <c r="J22">
        <v>18</v>
      </c>
    </row>
    <row r="23" spans="2:10" ht="15" customHeight="1">
      <c r="B23" s="40" t="s">
        <v>18</v>
      </c>
      <c r="C23" t="s">
        <v>98</v>
      </c>
      <c r="D23" s="44" t="s">
        <v>68</v>
      </c>
      <c r="E23" t="s">
        <v>98</v>
      </c>
      <c r="J23">
        <v>19</v>
      </c>
    </row>
    <row r="24" spans="2:10" ht="15" customHeight="1">
      <c r="B24" s="40" t="s">
        <v>19</v>
      </c>
      <c r="C24" t="s">
        <v>98</v>
      </c>
      <c r="D24" s="44" t="s">
        <v>69</v>
      </c>
      <c r="E24" t="s">
        <v>98</v>
      </c>
      <c r="J24">
        <v>20</v>
      </c>
    </row>
    <row r="25" spans="2:10" ht="15" customHeight="1">
      <c r="B25" s="40" t="s">
        <v>20</v>
      </c>
      <c r="C25" t="s">
        <v>98</v>
      </c>
      <c r="D25" s="44" t="s">
        <v>70</v>
      </c>
      <c r="E25" t="s">
        <v>98</v>
      </c>
      <c r="J25">
        <v>21</v>
      </c>
    </row>
    <row r="26" spans="2:10" ht="15" customHeight="1">
      <c r="B26" s="40" t="s">
        <v>21</v>
      </c>
      <c r="C26" t="s">
        <v>98</v>
      </c>
      <c r="D26" s="44" t="s">
        <v>71</v>
      </c>
      <c r="E26" t="s">
        <v>98</v>
      </c>
      <c r="J26">
        <v>22</v>
      </c>
    </row>
    <row r="27" spans="2:10" ht="15" customHeight="1">
      <c r="B27" s="40" t="s">
        <v>22</v>
      </c>
      <c r="C27" t="s">
        <v>98</v>
      </c>
      <c r="D27" s="44" t="s">
        <v>72</v>
      </c>
      <c r="E27" t="s">
        <v>98</v>
      </c>
      <c r="J27">
        <v>23</v>
      </c>
    </row>
    <row r="28" spans="2:10" ht="15" customHeight="1">
      <c r="B28" s="40" t="s">
        <v>23</v>
      </c>
      <c r="C28" t="s">
        <v>98</v>
      </c>
      <c r="D28" s="44" t="s">
        <v>73</v>
      </c>
      <c r="E28" t="s">
        <v>98</v>
      </c>
      <c r="J28">
        <v>24</v>
      </c>
    </row>
    <row r="29" spans="2:10" ht="15" customHeight="1">
      <c r="B29" s="41" t="s">
        <v>24</v>
      </c>
      <c r="C29" t="s">
        <v>98</v>
      </c>
      <c r="D29" s="44" t="s">
        <v>74</v>
      </c>
      <c r="E29" t="s">
        <v>98</v>
      </c>
      <c r="J29">
        <v>25</v>
      </c>
    </row>
    <row r="30" spans="2:10" ht="15" customHeight="1">
      <c r="B30" s="40" t="s">
        <v>25</v>
      </c>
      <c r="C30" t="s">
        <v>98</v>
      </c>
      <c r="D30" s="44" t="s">
        <v>75</v>
      </c>
      <c r="E30" t="s">
        <v>98</v>
      </c>
      <c r="J30">
        <v>26</v>
      </c>
    </row>
    <row r="31" spans="2:10" ht="15" customHeight="1">
      <c r="B31" s="40" t="s">
        <v>26</v>
      </c>
      <c r="C31" t="s">
        <v>98</v>
      </c>
      <c r="D31" s="44" t="s">
        <v>76</v>
      </c>
      <c r="E31" t="s">
        <v>98</v>
      </c>
      <c r="J31">
        <v>27</v>
      </c>
    </row>
    <row r="32" spans="2:10" ht="15" customHeight="1">
      <c r="B32" s="40" t="s">
        <v>27</v>
      </c>
      <c r="C32" t="s">
        <v>98</v>
      </c>
      <c r="D32" s="44" t="s">
        <v>77</v>
      </c>
      <c r="E32" t="s">
        <v>98</v>
      </c>
      <c r="J32">
        <v>28</v>
      </c>
    </row>
    <row r="33" spans="2:10" ht="15" customHeight="1">
      <c r="B33" s="40" t="s">
        <v>28</v>
      </c>
      <c r="C33" t="s">
        <v>98</v>
      </c>
      <c r="D33" s="44" t="s">
        <v>78</v>
      </c>
      <c r="E33" t="s">
        <v>98</v>
      </c>
      <c r="J33">
        <v>29</v>
      </c>
    </row>
    <row r="34" spans="2:10" ht="15" customHeight="1">
      <c r="B34" s="40" t="s">
        <v>29</v>
      </c>
      <c r="C34" t="s">
        <v>98</v>
      </c>
      <c r="D34" s="44" t="s">
        <v>79</v>
      </c>
      <c r="E34" t="s">
        <v>98</v>
      </c>
      <c r="J34">
        <v>30</v>
      </c>
    </row>
    <row r="35" spans="2:10" ht="15" customHeight="1">
      <c r="B35" s="40" t="s">
        <v>30</v>
      </c>
      <c r="C35" t="s">
        <v>98</v>
      </c>
      <c r="D35" s="45" t="s">
        <v>80</v>
      </c>
      <c r="E35" t="s">
        <v>98</v>
      </c>
      <c r="J35">
        <v>31</v>
      </c>
    </row>
    <row r="36" spans="2:5" ht="15" customHeight="1">
      <c r="B36" s="40" t="s">
        <v>31</v>
      </c>
      <c r="C36" t="s">
        <v>98</v>
      </c>
      <c r="D36" s="46" t="s">
        <v>131</v>
      </c>
      <c r="E36" t="s">
        <v>98</v>
      </c>
    </row>
    <row r="37" spans="2:5" ht="15" customHeight="1">
      <c r="B37" s="40" t="s">
        <v>32</v>
      </c>
      <c r="C37" t="s">
        <v>98</v>
      </c>
      <c r="D37" s="44" t="s">
        <v>81</v>
      </c>
      <c r="E37" t="s">
        <v>98</v>
      </c>
    </row>
    <row r="38" spans="2:5" ht="15" customHeight="1">
      <c r="B38" s="40" t="s">
        <v>33</v>
      </c>
      <c r="C38" t="s">
        <v>98</v>
      </c>
      <c r="D38" s="44" t="s">
        <v>82</v>
      </c>
      <c r="E38" t="s">
        <v>98</v>
      </c>
    </row>
    <row r="39" spans="2:5" ht="15" customHeight="1">
      <c r="B39" s="40" t="s">
        <v>34</v>
      </c>
      <c r="C39" t="s">
        <v>98</v>
      </c>
      <c r="D39" s="44" t="s">
        <v>83</v>
      </c>
      <c r="E39" t="s">
        <v>98</v>
      </c>
    </row>
    <row r="40" spans="2:5" ht="15" customHeight="1">
      <c r="B40" s="41" t="s">
        <v>35</v>
      </c>
      <c r="C40" t="s">
        <v>98</v>
      </c>
      <c r="D40" s="44" t="s">
        <v>84</v>
      </c>
      <c r="E40" t="s">
        <v>98</v>
      </c>
    </row>
    <row r="41" spans="2:5" ht="15" customHeight="1">
      <c r="B41" s="40" t="s">
        <v>130</v>
      </c>
      <c r="C41" t="s">
        <v>98</v>
      </c>
      <c r="D41" s="45" t="s">
        <v>85</v>
      </c>
      <c r="E41" t="s">
        <v>98</v>
      </c>
    </row>
    <row r="42" spans="2:5" ht="15" customHeight="1">
      <c r="B42" s="41" t="s">
        <v>36</v>
      </c>
      <c r="C42" t="s">
        <v>98</v>
      </c>
      <c r="D42" s="44" t="s">
        <v>86</v>
      </c>
      <c r="E42" t="s">
        <v>98</v>
      </c>
    </row>
    <row r="43" spans="2:5" ht="15" customHeight="1">
      <c r="B43" s="40" t="s">
        <v>37</v>
      </c>
      <c r="C43" t="s">
        <v>98</v>
      </c>
      <c r="D43" s="44" t="s">
        <v>87</v>
      </c>
      <c r="E43" t="s">
        <v>98</v>
      </c>
    </row>
    <row r="44" spans="2:5" ht="15" customHeight="1">
      <c r="B44" s="40" t="s">
        <v>38</v>
      </c>
      <c r="C44" t="s">
        <v>98</v>
      </c>
      <c r="D44" s="44" t="s">
        <v>88</v>
      </c>
      <c r="E44" t="s">
        <v>98</v>
      </c>
    </row>
    <row r="45" spans="2:5" ht="15" customHeight="1">
      <c r="B45" s="40" t="s">
        <v>39</v>
      </c>
      <c r="C45" t="s">
        <v>98</v>
      </c>
      <c r="D45" s="44" t="s">
        <v>89</v>
      </c>
      <c r="E45" t="s">
        <v>98</v>
      </c>
    </row>
    <row r="46" spans="2:5" ht="15" customHeight="1">
      <c r="B46" s="40" t="s">
        <v>40</v>
      </c>
      <c r="C46" t="s">
        <v>98</v>
      </c>
      <c r="D46" s="44" t="s">
        <v>90</v>
      </c>
      <c r="E46" t="s">
        <v>98</v>
      </c>
    </row>
    <row r="47" spans="2:29" ht="15" customHeight="1">
      <c r="B47" s="40" t="s">
        <v>41</v>
      </c>
      <c r="C47" t="s">
        <v>98</v>
      </c>
      <c r="D47" s="45" t="s">
        <v>91</v>
      </c>
      <c r="E47" t="s">
        <v>98</v>
      </c>
      <c r="AC47" t="str">
        <f>IF(AC46&gt;=0.7,IF(AC41="OUI",Annexes!S6,IF(AND(AC42="OUI",AC40&gt;=0.8),"-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aide")),IF(AC46&gt;=0.5,IF(AC41="OUI","- L'entreprise a subi une perte d'au-moins 50 % en Octobre 2020 et est mentionnée en annexe 1 (S1) du décret 2020-1328, l'entreprise peut bénéficier à ce titre d'une aide plafonné à 10 000 €",IF(AND(AC42="OUI",AC40&gt;=0.8),"-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5" ht="15" customHeight="1">
      <c r="B48" s="40" t="s">
        <v>42</v>
      </c>
      <c r="C48" t="s">
        <v>98</v>
      </c>
      <c r="D48" s="46" t="s">
        <v>144</v>
      </c>
      <c r="E48" t="s">
        <v>98</v>
      </c>
    </row>
    <row r="49" spans="2:5" ht="15" customHeight="1">
      <c r="B49" s="42" t="s">
        <v>135</v>
      </c>
      <c r="C49" t="s">
        <v>98</v>
      </c>
      <c r="D49" s="42" t="s">
        <v>145</v>
      </c>
      <c r="E49" t="s">
        <v>98</v>
      </c>
    </row>
    <row r="50" spans="2:5" ht="15" customHeight="1">
      <c r="B50" s="42" t="s">
        <v>136</v>
      </c>
      <c r="C50" t="s">
        <v>98</v>
      </c>
      <c r="D50" s="42" t="s">
        <v>146</v>
      </c>
      <c r="E50" t="s">
        <v>98</v>
      </c>
    </row>
    <row r="51" spans="2:5" ht="15" customHeight="1">
      <c r="B51" s="40" t="s">
        <v>43</v>
      </c>
      <c r="C51" t="s">
        <v>98</v>
      </c>
      <c r="D51" s="42" t="s">
        <v>147</v>
      </c>
      <c r="E51" t="s">
        <v>98</v>
      </c>
    </row>
    <row r="52" spans="2:5" ht="15" customHeight="1">
      <c r="B52" s="40" t="s">
        <v>44</v>
      </c>
      <c r="C52" t="s">
        <v>98</v>
      </c>
      <c r="D52" s="42" t="s">
        <v>148</v>
      </c>
      <c r="E52" t="s">
        <v>98</v>
      </c>
    </row>
    <row r="53" spans="2:5" ht="15" customHeight="1">
      <c r="B53" s="40" t="s">
        <v>45</v>
      </c>
      <c r="C53" t="s">
        <v>98</v>
      </c>
      <c r="D53" s="42" t="s">
        <v>149</v>
      </c>
      <c r="E53" t="s">
        <v>98</v>
      </c>
    </row>
    <row r="54" spans="2:5" ht="15" customHeight="1">
      <c r="B54" s="40" t="s">
        <v>46</v>
      </c>
      <c r="C54" t="s">
        <v>98</v>
      </c>
      <c r="D54" s="42" t="s">
        <v>150</v>
      </c>
      <c r="E54" t="s">
        <v>98</v>
      </c>
    </row>
    <row r="55" spans="2:5" ht="15" customHeight="1">
      <c r="B55" s="40" t="s">
        <v>47</v>
      </c>
      <c r="C55" t="s">
        <v>98</v>
      </c>
      <c r="D55" s="43" t="s">
        <v>151</v>
      </c>
      <c r="E55" t="s">
        <v>98</v>
      </c>
    </row>
    <row r="56" spans="2:5" ht="15" customHeight="1">
      <c r="B56" s="41" t="s">
        <v>48</v>
      </c>
      <c r="C56" t="s">
        <v>98</v>
      </c>
      <c r="D56" s="43" t="s">
        <v>152</v>
      </c>
      <c r="E56" t="s">
        <v>98</v>
      </c>
    </row>
    <row r="57" spans="2:5" ht="15" customHeight="1">
      <c r="B57" s="42" t="s">
        <v>137</v>
      </c>
      <c r="C57" t="s">
        <v>98</v>
      </c>
      <c r="D57" s="43" t="s">
        <v>153</v>
      </c>
      <c r="E57" t="s">
        <v>98</v>
      </c>
    </row>
    <row r="58" spans="2:5" ht="15" customHeight="1">
      <c r="B58" s="42" t="s">
        <v>138</v>
      </c>
      <c r="C58" t="s">
        <v>98</v>
      </c>
      <c r="D58" s="43" t="s">
        <v>154</v>
      </c>
      <c r="E58" t="s">
        <v>98</v>
      </c>
    </row>
    <row r="59" spans="2:5" ht="15" customHeight="1">
      <c r="B59" s="42" t="s">
        <v>139</v>
      </c>
      <c r="C59" t="s">
        <v>98</v>
      </c>
      <c r="D59" s="43" t="s">
        <v>155</v>
      </c>
      <c r="E59" t="s">
        <v>98</v>
      </c>
    </row>
    <row r="60" spans="2:5" ht="15" customHeight="1">
      <c r="B60" s="42" t="s">
        <v>140</v>
      </c>
      <c r="C60" t="s">
        <v>98</v>
      </c>
      <c r="D60" s="43" t="s">
        <v>156</v>
      </c>
      <c r="E60" t="s">
        <v>98</v>
      </c>
    </row>
    <row r="61" spans="2:5" ht="15" customHeight="1">
      <c r="B61" s="42" t="s">
        <v>141</v>
      </c>
      <c r="C61" t="s">
        <v>98</v>
      </c>
      <c r="D61" s="43" t="s">
        <v>157</v>
      </c>
      <c r="E61" t="s">
        <v>98</v>
      </c>
    </row>
    <row r="62" spans="2:5" ht="15" customHeight="1">
      <c r="B62" s="42" t="s">
        <v>142</v>
      </c>
      <c r="C62" t="s">
        <v>98</v>
      </c>
      <c r="D62" s="43" t="s">
        <v>158</v>
      </c>
      <c r="E62" t="s">
        <v>98</v>
      </c>
    </row>
    <row r="63" spans="2:5" ht="15" customHeight="1">
      <c r="B63" s="43" t="s">
        <v>143</v>
      </c>
      <c r="C63" t="s">
        <v>98</v>
      </c>
      <c r="D63" s="43" t="s">
        <v>159</v>
      </c>
      <c r="E63" t="s">
        <v>98</v>
      </c>
    </row>
    <row r="64" spans="4:5" ht="15" customHeight="1">
      <c r="D64" s="43" t="s">
        <v>160</v>
      </c>
      <c r="E64" t="s">
        <v>98</v>
      </c>
    </row>
    <row r="65" spans="4:5" ht="15" customHeight="1">
      <c r="D65" s="43" t="s">
        <v>161</v>
      </c>
      <c r="E65" t="s">
        <v>98</v>
      </c>
    </row>
    <row r="66" spans="4:5" ht="15" customHeight="1">
      <c r="D66" s="43" t="s">
        <v>162</v>
      </c>
      <c r="E66" t="s">
        <v>98</v>
      </c>
    </row>
    <row r="67" spans="4:5" ht="15" customHeight="1">
      <c r="D67" s="43" t="s">
        <v>163</v>
      </c>
      <c r="E67" t="s">
        <v>98</v>
      </c>
    </row>
    <row r="68" spans="4:5" ht="15" customHeight="1">
      <c r="D68" s="43" t="s">
        <v>164</v>
      </c>
      <c r="E68" t="s">
        <v>98</v>
      </c>
    </row>
    <row r="69" spans="4:5" ht="15" customHeight="1">
      <c r="D69" s="43" t="s">
        <v>165</v>
      </c>
      <c r="E69" t="s">
        <v>98</v>
      </c>
    </row>
    <row r="70" spans="4:5" ht="15" customHeight="1">
      <c r="D70" s="43" t="s">
        <v>166</v>
      </c>
      <c r="E70" t="s">
        <v>98</v>
      </c>
    </row>
    <row r="71" spans="4:5" ht="15" customHeight="1">
      <c r="D71" s="43" t="s">
        <v>167</v>
      </c>
      <c r="E71" t="s">
        <v>98</v>
      </c>
    </row>
    <row r="72" spans="4:5" ht="15" customHeight="1">
      <c r="D72" s="43" t="s">
        <v>168</v>
      </c>
      <c r="E72" t="s">
        <v>98</v>
      </c>
    </row>
    <row r="73" spans="4:5" ht="15" customHeight="1">
      <c r="D73" s="43" t="s">
        <v>169</v>
      </c>
      <c r="E73" t="s">
        <v>98</v>
      </c>
    </row>
    <row r="74" spans="4:5" ht="15" customHeight="1">
      <c r="D74" s="43" t="s">
        <v>170</v>
      </c>
      <c r="E74" t="s">
        <v>98</v>
      </c>
    </row>
    <row r="75" spans="4:5" ht="15" customHeight="1">
      <c r="D75" s="43" t="s">
        <v>171</v>
      </c>
      <c r="E75" t="s">
        <v>98</v>
      </c>
    </row>
    <row r="76" spans="4:5" ht="15" customHeight="1">
      <c r="D76" s="43" t="s">
        <v>172</v>
      </c>
      <c r="E76" t="s">
        <v>98</v>
      </c>
    </row>
    <row r="77" spans="4:5" ht="15" customHeight="1">
      <c r="D77" s="43" t="s">
        <v>173</v>
      </c>
      <c r="E77" t="s">
        <v>98</v>
      </c>
    </row>
    <row r="78" spans="4:5" ht="15" customHeight="1">
      <c r="D78" s="43" t="s">
        <v>174</v>
      </c>
      <c r="E78" t="s">
        <v>98</v>
      </c>
    </row>
    <row r="79" spans="4:5" ht="15" customHeight="1">
      <c r="D79" s="43" t="s">
        <v>175</v>
      </c>
      <c r="E79" t="s">
        <v>98</v>
      </c>
    </row>
    <row r="80" spans="4:5" ht="15" customHeight="1">
      <c r="D80" s="43" t="s">
        <v>176</v>
      </c>
      <c r="E80" t="s">
        <v>98</v>
      </c>
    </row>
    <row r="81" spans="4:5" ht="15" customHeight="1">
      <c r="D81" s="43" t="s">
        <v>177</v>
      </c>
      <c r="E81" t="s">
        <v>98</v>
      </c>
    </row>
    <row r="82" spans="4:5" ht="15" customHeight="1">
      <c r="D82" s="43" t="s">
        <v>178</v>
      </c>
      <c r="E82" t="s">
        <v>98</v>
      </c>
    </row>
    <row r="83" spans="4:5" ht="15" customHeight="1">
      <c r="D83" s="43" t="s">
        <v>179</v>
      </c>
      <c r="E83" t="s">
        <v>98</v>
      </c>
    </row>
    <row r="84" spans="4:5" ht="15" customHeight="1">
      <c r="D84" s="43" t="s">
        <v>180</v>
      </c>
      <c r="E84" t="s">
        <v>98</v>
      </c>
    </row>
    <row r="85" spans="4:5" ht="15" customHeight="1">
      <c r="D85" s="43" t="s">
        <v>181</v>
      </c>
      <c r="E85" t="s">
        <v>98</v>
      </c>
    </row>
    <row r="86" spans="4:5" ht="15" customHeight="1">
      <c r="D86" s="42" t="s">
        <v>182</v>
      </c>
      <c r="E86" t="s">
        <v>98</v>
      </c>
    </row>
    <row r="87" spans="4:5" ht="15" customHeight="1">
      <c r="D87" s="42" t="s">
        <v>183</v>
      </c>
      <c r="E87" t="s">
        <v>98</v>
      </c>
    </row>
    <row r="88" spans="4:5" ht="15" customHeight="1">
      <c r="D88" s="42" t="s">
        <v>184</v>
      </c>
      <c r="E88" t="s">
        <v>98</v>
      </c>
    </row>
    <row r="89" spans="4:5" ht="15" customHeight="1">
      <c r="D89" s="43" t="s">
        <v>185</v>
      </c>
      <c r="E89" t="s">
        <v>98</v>
      </c>
    </row>
  </sheetData>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rintOptions/>
  <pageMargins left="0.7" right="0.7" top="0.75" bottom="0.75" header="0.3" footer="0.3"/>
  <pageSetup horizontalDpi="1200" verticalDpi="12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2020-11-16T10:19:27Z</dcterms:modified>
  <cp:category/>
  <cp:version/>
  <cp:contentType/>
  <cp:contentStatus/>
</cp:coreProperties>
</file>